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Z:\RAFAL\Dokumentacja GAZ\GRUPA SKARŻYSKO 2019-2020\nowy formularz\"/>
    </mc:Choice>
  </mc:AlternateContent>
  <xr:revisionPtr revIDLastSave="0" documentId="13_ncr:1_{18E9B8BD-463B-42B8-ACCF-9E25F2FBC604}" xr6:coauthVersionLast="37" xr6:coauthVersionMax="37" xr10:uidLastSave="{00000000-0000-0000-0000-000000000000}"/>
  <bookViews>
    <workbookView xWindow="0" yWindow="0" windowWidth="23040" windowHeight="9060" firstSheet="1" activeTab="1" xr2:uid="{00000000-000D-0000-FFFF-FFFF00000000}"/>
  </bookViews>
  <sheets>
    <sheet name="Zmiany" sheetId="9" state="hidden" r:id="rId1"/>
    <sheet name="Arkusz1" sheetId="24" r:id="rId2"/>
  </sheets>
  <calcPr calcId="162913"/>
</workbook>
</file>

<file path=xl/calcChain.xml><?xml version="1.0" encoding="utf-8"?>
<calcChain xmlns="http://schemas.openxmlformats.org/spreadsheetml/2006/main">
  <c r="K14" i="24" l="1"/>
  <c r="M14" i="24" s="1"/>
  <c r="Q14" i="24"/>
  <c r="O14" i="24" l="1"/>
  <c r="R14" i="24" s="1"/>
  <c r="S14" i="24" s="1"/>
  <c r="T14" i="24" s="1"/>
  <c r="Q13" i="24" l="1"/>
  <c r="K13" i="24"/>
  <c r="M13" i="24" s="1"/>
  <c r="Q12" i="24"/>
  <c r="K12" i="24"/>
  <c r="M12" i="24" s="1"/>
  <c r="O12" i="24" l="1"/>
  <c r="R12" i="24" s="1"/>
  <c r="S12" i="24" s="1"/>
  <c r="T12" i="24" s="1"/>
  <c r="O13" i="24"/>
  <c r="R13" i="24" s="1"/>
  <c r="S13" i="24" s="1"/>
  <c r="T13" i="24" s="1"/>
  <c r="Q11" i="24"/>
  <c r="O11" i="24"/>
  <c r="K11" i="24"/>
  <c r="M11" i="24" s="1"/>
  <c r="R11" i="24" l="1"/>
  <c r="S11" i="24" s="1"/>
  <c r="T11" i="24" s="1"/>
  <c r="K10" i="24"/>
  <c r="M10" i="24" s="1"/>
  <c r="K9" i="24"/>
  <c r="M9" i="24" s="1"/>
  <c r="Q9" i="24"/>
  <c r="K8" i="24"/>
  <c r="M8" i="24" s="1"/>
  <c r="K7" i="24"/>
  <c r="M7" i="24" s="1"/>
  <c r="Q7" i="24"/>
  <c r="K6" i="24"/>
  <c r="M6" i="24" s="1"/>
  <c r="K5" i="24"/>
  <c r="M5" i="24" s="1"/>
  <c r="Q5" i="24"/>
  <c r="A4" i="24"/>
  <c r="B4" i="24"/>
  <c r="C4" i="24"/>
  <c r="D4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O5" i="24" l="1"/>
  <c r="R5" i="24" s="1"/>
  <c r="S5" i="24" s="1"/>
  <c r="Q6" i="24"/>
  <c r="O7" i="24"/>
  <c r="R7" i="24" s="1"/>
  <c r="S7" i="24" s="1"/>
  <c r="T7" i="24" s="1"/>
  <c r="Q8" i="24"/>
  <c r="O9" i="24"/>
  <c r="R9" i="24" s="1"/>
  <c r="S9" i="24" s="1"/>
  <c r="T9" i="24" s="1"/>
  <c r="Q10" i="24"/>
  <c r="T5" i="24" l="1"/>
  <c r="O10" i="24"/>
  <c r="R10" i="24" s="1"/>
  <c r="S10" i="24" s="1"/>
  <c r="T10" i="24" s="1"/>
  <c r="O8" i="24"/>
  <c r="R8" i="24" s="1"/>
  <c r="S8" i="24" s="1"/>
  <c r="T8" i="24" s="1"/>
  <c r="O6" i="24"/>
  <c r="R6" i="24" s="1"/>
  <c r="S6" i="24" s="1"/>
  <c r="T6" i="24" l="1"/>
  <c r="T15" i="24" s="1"/>
  <c r="S15" i="24"/>
</calcChain>
</file>

<file path=xl/sharedStrings.xml><?xml version="1.0" encoding="utf-8"?>
<sst xmlns="http://schemas.openxmlformats.org/spreadsheetml/2006/main" count="125" uniqueCount="84">
  <si>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</si>
  <si>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</si>
  <si>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</si>
  <si>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</si>
  <si>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</si>
  <si>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</si>
  <si>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</si>
  <si>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</si>
  <si>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</si>
  <si>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</si>
  <si>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</si>
  <si>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</si>
  <si>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</si>
  <si>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</si>
  <si>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</si>
  <si>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</si>
  <si>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</si>
  <si>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</si>
  <si>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</si>
  <si>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</si>
  <si>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</si>
  <si>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</si>
  <si>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</si>
  <si>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</si>
  <si>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</si>
  <si>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</si>
  <si>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</si>
  <si>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</si>
  <si>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</si>
  <si>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</si>
  <si>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</si>
  <si>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</si>
  <si>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</si>
  <si>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</si>
  <si>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</si>
  <si>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</si>
  <si>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</si>
  <si>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</si>
  <si>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</si>
  <si>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</si>
  <si>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</si>
  <si>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</si>
  <si>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</si>
  <si>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</si>
  <si>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</si>
  <si>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</si>
  <si>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</si>
  <si>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</si>
  <si>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Załącznik nr 3 do SIWZ - Formularz cenowy</t>
  </si>
  <si>
    <t>Grupa taryfowa</t>
  </si>
  <si>
    <t>Liczba punktów poboru</t>
  </si>
  <si>
    <r>
      <t xml:space="preserve">Moc umowna
</t>
    </r>
    <r>
      <rPr>
        <sz val="9"/>
        <rFont val="Calibri"/>
        <family val="2"/>
        <charset val="238"/>
        <scheme val="minor"/>
      </rPr>
      <t>(kWh/h)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</si>
  <si>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(kWh)</t>
    </r>
  </si>
  <si>
    <r>
      <rPr>
        <b/>
        <sz val="9"/>
        <rFont val="Calibri"/>
        <family val="2"/>
        <charset val="238"/>
        <scheme val="minor"/>
      </rPr>
      <t>Szacunkowe zapotrzebowanie na paliwo gazowe opodatkowane akcyzą 1,28 zł/GJ</t>
    </r>
    <r>
      <rPr>
        <sz val="9"/>
        <rFont val="Calibri"/>
        <family val="2"/>
        <charset val="238"/>
        <scheme val="minor"/>
      </rPr>
      <t xml:space="preserve">
(kWh)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</si>
  <si>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(kWh)</t>
    </r>
  </si>
  <si>
    <t>Liczba miesięcy</t>
  </si>
  <si>
    <t>Liczba dni</t>
  </si>
  <si>
    <t>Oddział dystrybucji</t>
  </si>
  <si>
    <t>Cena za gaz (zł netto)</t>
  </si>
  <si>
    <t>CENA OFERTY 
(zł netto)</t>
  </si>
  <si>
    <t>CENA OFERTY 
(zł brutto)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</si>
  <si>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(gr/kWh)
</t>
    </r>
    <r>
      <rPr>
        <i/>
        <sz val="9"/>
        <rFont val="Calibri"/>
        <family val="2"/>
        <charset val="238"/>
        <scheme val="minor"/>
      </rPr>
      <t>(zaokrąglenie 
do 3 miejsc 
po przecinku)</t>
    </r>
  </si>
  <si>
    <r>
      <t xml:space="preserve">Cena jednostkowa za gaz z akcyzą 1,28 zł/GJ*
</t>
    </r>
    <r>
      <rPr>
        <sz val="9"/>
        <rFont val="Calibri"/>
        <family val="2"/>
        <charset val="238"/>
        <scheme val="minor"/>
      </rPr>
      <t>(gr/kWh)
(kol. 10 + 0,362)</t>
    </r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</si>
  <si>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4 × kol. 10) /100 + (kol. 5 × kol. 11) /100 + (kol. 2 × kol. 7 × kol. 12)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</si>
  <si>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(zł/m-c) 
dla grup taryfowych z ozn. 
W-1, W-2, W-3, W-4
b) (gr/(kWh/h) za h) 
dla grup taryfowych z ozn. 
W-5, W-6, W-7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</si>
  <si>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7 × kol. 14) 
dla grup taryfowych z ozn.
W-1, W-2, W-3, W-4
b) (kol. 3 × kol. 8 × 24 h × kol. 14) /100 
dla grup taryfowych z ozn.
W-5, W-6, W-7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</si>
  <si>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(gr/kWh)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</si>
  <si>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6 × kol. 16)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</si>
  <si>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15 + kol. 17)</t>
    </r>
  </si>
  <si>
    <t>(suma kol. 13 
+ kol. 18)</t>
  </si>
  <si>
    <r>
      <t xml:space="preserve">(kol. 19) + podatek VAT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</si>
  <si>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nd.</t>
  </si>
  <si>
    <t>PSG Sp. z o.o. - Tarnów</t>
  </si>
  <si>
    <t>W-3.6</t>
  </si>
  <si>
    <t>W-4</t>
  </si>
  <si>
    <t>W-5.1</t>
  </si>
  <si>
    <t>SUMA:</t>
  </si>
  <si>
    <r>
      <t xml:space="preserve"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</si>
  <si>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
(zł/m-c)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</si>
  <si>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W-1.1</t>
  </si>
  <si>
    <t>W-2.1</t>
  </si>
  <si>
    <t>PSG Sp. z o.o. - Warszawa</t>
  </si>
  <si>
    <t>Cena za usługi dystrybucyjne (zł netto)**</t>
  </si>
  <si>
    <t>**Rozliczenia kosztów dystrybucji będą prowadzone zgodnie z taryfą OSD.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</si>
</sst>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7" borderId="1" xfId="0" applyNumberFormat="1" applyFont="1" applyFill="1" applyBorder="1" applyAlignment="1" applyProtection="1">
      <alignment horizontal="center" vertical="center"/>
    </xf>
    <xf numFmtId="4" fontId="9" fillId="7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6" xfId="5" xr:uid="{00000000-0005-0000-0000-000005000000}"/>
  </cellStyles>
  <dxfs count="0"/>
  <tableStyles count="0" defaultTableStyle="TableStyleMedium9" defaultPivotStyle="PivotStyleLight16"/>
  <colors>
    <mruColors>
      <color rgb="FFF9FCD2"/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09375" defaultRowHeight="13.2"/>
  <cols>
    <col min="1" max="1" width="11.109375" style="1" customWidth="1"/>
    <col min="2" max="2" width="18.88671875" style="1" bestFit="1" customWidth="1"/>
    <col min="3" max="3" width="26.33203125" style="1" customWidth="1"/>
    <col min="4" max="4" width="20.5546875" style="1" customWidth="1"/>
    <col min="5" max="5" width="25" style="1" customWidth="1"/>
    <col min="6" max="6" width="11.5546875" style="1" bestFit="1" customWidth="1"/>
    <col min="7" max="7" width="16.44140625" style="1" customWidth="1"/>
    <col min="8" max="8" width="20.33203125" style="1" customWidth="1"/>
    <col min="9" max="10" width="29.6640625" style="1" customWidth="1"/>
    <col min="11" max="11" width="22.6640625" style="1" customWidth="1"/>
    <col min="12" max="12" width="20.88671875" style="1" bestFit="1" customWidth="1"/>
    <col min="13" max="16384" width="9.10937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0.799999999999997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0.399999999999999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0.399999999999999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0.399999999999999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0.399999999999999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66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6.4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6.4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9.6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9.6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6.4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9.6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2"/>
  <sheetViews>
    <sheetView tabSelected="1" topLeftCell="D4" zoomScale="85" zoomScaleNormal="85" workbookViewId="0">
      <selection activeCell="L16" sqref="L16"/>
    </sheetView>
  </sheetViews>
  <sheetFormatPr defaultRowHeight="13.2"/>
  <cols>
    <col min="1" max="1" width="7.33203125" style="26" customWidth="1"/>
    <col min="2" max="2" width="7.44140625" style="26" customWidth="1"/>
    <col min="3" max="3" width="7.109375" style="26" customWidth="1"/>
    <col min="4" max="5" width="14.109375" style="26" customWidth="1"/>
    <col min="6" max="6" width="13.33203125" style="26" customWidth="1"/>
    <col min="7" max="7" width="7.109375" style="26" customWidth="1"/>
    <col min="8" max="8" width="6.44140625" style="26" customWidth="1"/>
    <col min="9" max="9" width="21.109375" style="26" customWidth="1"/>
    <col min="10" max="12" width="12.33203125" style="26" customWidth="1"/>
    <col min="13" max="13" width="15.6640625" style="26" customWidth="1"/>
    <col min="14" max="14" width="20" style="26" customWidth="1"/>
    <col min="15" max="15" width="18.88671875" style="26" customWidth="1"/>
    <col min="16" max="16" width="12.109375" style="26" customWidth="1"/>
    <col min="17" max="17" width="15.33203125" style="26" customWidth="1"/>
    <col min="18" max="18" width="13.33203125" style="26" customWidth="1"/>
    <col min="19" max="19" width="12.33203125" style="26" customWidth="1"/>
    <col min="20" max="20" width="11" style="26" customWidth="1"/>
    <col min="24" max="24" width="9.88671875" bestFit="1" customWidth="1"/>
  </cols>
  <sheetData>
    <row r="1" spans="1:20" ht="15.75" customHeight="1">
      <c r="A1" s="40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</row>
    <row r="2" spans="1:20" ht="24" customHeight="1">
      <c r="A2" s="43" t="s">
        <v>49</v>
      </c>
      <c r="B2" s="43" t="s">
        <v>50</v>
      </c>
      <c r="C2" s="43" t="s">
        <v>51</v>
      </c>
      <c r="D2" s="45" t="s">
        <v>52</v>
      </c>
      <c r="E2" s="45" t="s">
        <v>53</v>
      </c>
      <c r="F2" s="45" t="s">
        <v>54</v>
      </c>
      <c r="G2" s="43" t="s">
        <v>55</v>
      </c>
      <c r="H2" s="43" t="s">
        <v>56</v>
      </c>
      <c r="I2" s="43" t="s">
        <v>57</v>
      </c>
      <c r="J2" s="37" t="s">
        <v>58</v>
      </c>
      <c r="K2" s="38"/>
      <c r="L2" s="38"/>
      <c r="M2" s="39"/>
      <c r="N2" s="37" t="s">
        <v>82</v>
      </c>
      <c r="O2" s="38"/>
      <c r="P2" s="38"/>
      <c r="Q2" s="38"/>
      <c r="R2" s="39"/>
      <c r="S2" s="18" t="s">
        <v>59</v>
      </c>
      <c r="T2" s="18" t="s">
        <v>60</v>
      </c>
    </row>
    <row r="3" spans="1:20" ht="186.6" customHeight="1">
      <c r="A3" s="44"/>
      <c r="B3" s="44"/>
      <c r="C3" s="44"/>
      <c r="D3" s="46"/>
      <c r="E3" s="46"/>
      <c r="F3" s="46"/>
      <c r="G3" s="44"/>
      <c r="H3" s="44"/>
      <c r="I3" s="44"/>
      <c r="J3" s="30" t="s">
        <v>61</v>
      </c>
      <c r="K3" s="29" t="s">
        <v>62</v>
      </c>
      <c r="L3" s="30" t="s">
        <v>78</v>
      </c>
      <c r="M3" s="30" t="s">
        <v>63</v>
      </c>
      <c r="N3" s="30" t="s">
        <v>64</v>
      </c>
      <c r="O3" s="30" t="s">
        <v>65</v>
      </c>
      <c r="P3" s="29" t="s">
        <v>66</v>
      </c>
      <c r="Q3" s="30" t="s">
        <v>67</v>
      </c>
      <c r="R3" s="30" t="s">
        <v>68</v>
      </c>
      <c r="S3" s="30" t="s">
        <v>69</v>
      </c>
      <c r="T3" s="30" t="s">
        <v>70</v>
      </c>
    </row>
    <row r="4" spans="1:20" ht="12.75" customHeight="1">
      <c r="A4" s="19" t="str">
        <f>"-1-"</f>
        <v>-1-</v>
      </c>
      <c r="B4" s="19" t="str">
        <f>"-2-"</f>
        <v>-2-</v>
      </c>
      <c r="C4" s="19" t="str">
        <f>"-3-"</f>
        <v>-3-</v>
      </c>
      <c r="D4" s="19" t="str">
        <f>"-4-"</f>
        <v>-4-</v>
      </c>
      <c r="E4" s="19" t="str">
        <f>"-5-"</f>
        <v>-5-</v>
      </c>
      <c r="F4" s="19" t="str">
        <f>"-6-"</f>
        <v>-6-</v>
      </c>
      <c r="G4" s="19" t="str">
        <f>"-7-"</f>
        <v>-7-</v>
      </c>
      <c r="H4" s="19" t="str">
        <f>"-8-"</f>
        <v>-8-</v>
      </c>
      <c r="I4" s="19" t="str">
        <f>"-9-"</f>
        <v>-9-</v>
      </c>
      <c r="J4" s="19" t="str">
        <f>"-10-"</f>
        <v>-10-</v>
      </c>
      <c r="K4" s="19" t="str">
        <f>"-11-"</f>
        <v>-11-</v>
      </c>
      <c r="L4" s="19" t="str">
        <f>"-12-"</f>
        <v>-12-</v>
      </c>
      <c r="M4" s="19" t="str">
        <f>"-13-"</f>
        <v>-13-</v>
      </c>
      <c r="N4" s="19" t="str">
        <f>"-14-"</f>
        <v>-14-</v>
      </c>
      <c r="O4" s="19" t="str">
        <f>"-15-"</f>
        <v>-15-</v>
      </c>
      <c r="P4" s="19" t="str">
        <f>"-16-"</f>
        <v>-16-</v>
      </c>
      <c r="Q4" s="19" t="str">
        <f>"-17-"</f>
        <v>-17-</v>
      </c>
      <c r="R4" s="19" t="str">
        <f>"-18-"</f>
        <v>-18-</v>
      </c>
      <c r="S4" s="19" t="str">
        <f>"-19-"</f>
        <v>-19-</v>
      </c>
      <c r="T4" s="19" t="str">
        <f>"-20-"</f>
        <v>-20-</v>
      </c>
    </row>
    <row r="5" spans="1:20" ht="28.8" customHeight="1">
      <c r="A5" s="20" t="s">
        <v>79</v>
      </c>
      <c r="B5" s="20">
        <v>4</v>
      </c>
      <c r="C5" s="21" t="s">
        <v>71</v>
      </c>
      <c r="D5" s="22">
        <v>4600</v>
      </c>
      <c r="E5" s="22">
        <v>0</v>
      </c>
      <c r="F5" s="22">
        <v>4600</v>
      </c>
      <c r="G5" s="22">
        <v>24</v>
      </c>
      <c r="H5" s="22" t="s">
        <v>71</v>
      </c>
      <c r="I5" s="23" t="s">
        <v>72</v>
      </c>
      <c r="J5" s="31"/>
      <c r="K5" s="24" t="str">
        <f>IF(ROUND(J5,3)=0,"",ROUND(J5,3)+0.362)</f>
        <v/>
      </c>
      <c r="L5" s="32"/>
      <c r="M5" s="25" t="str">
        <f>IF(ROUND(J5,3)&gt;0,ROUND(D5*ROUND(J5,3)/100+E5*K5/100+ROUND(L5,2)*G5*B5,2),"")</f>
        <v/>
      </c>
      <c r="N5" s="33">
        <v>3.28</v>
      </c>
      <c r="O5" s="25">
        <f>ROUND(IF(C5="nd.",B5*N5*G5,(H5*24*C5*N5)/100),2)</f>
        <v>314.88</v>
      </c>
      <c r="P5" s="33">
        <v>4.968</v>
      </c>
      <c r="Q5" s="25">
        <f t="shared" ref="Q5:Q10" si="0">ROUND(P5*F5/100,2)</f>
        <v>228.53</v>
      </c>
      <c r="R5" s="25">
        <f>O5+Q5</f>
        <v>543.41</v>
      </c>
      <c r="S5" s="25" t="str">
        <f>IF(J5&gt;0,M5+R5,"")</f>
        <v/>
      </c>
      <c r="T5" s="25" t="str">
        <f>IF(J5&gt;0,ROUND(S5*1.23,2),"")</f>
        <v/>
      </c>
    </row>
    <row r="6" spans="1:20" ht="28.8" customHeight="1">
      <c r="A6" s="20" t="s">
        <v>80</v>
      </c>
      <c r="B6" s="20">
        <v>2</v>
      </c>
      <c r="C6" s="21" t="s">
        <v>71</v>
      </c>
      <c r="D6" s="22">
        <v>24361</v>
      </c>
      <c r="E6" s="22">
        <v>0</v>
      </c>
      <c r="F6" s="22">
        <v>24361</v>
      </c>
      <c r="G6" s="22">
        <v>23</v>
      </c>
      <c r="H6" s="22" t="s">
        <v>71</v>
      </c>
      <c r="I6" s="23" t="s">
        <v>72</v>
      </c>
      <c r="J6" s="31"/>
      <c r="K6" s="24" t="str">
        <f t="shared" ref="K6:K10" si="1">IF(ROUND(J6,3)=0,"",ROUND(J6,3)+0.362)</f>
        <v/>
      </c>
      <c r="L6" s="32"/>
      <c r="M6" s="25" t="str">
        <f t="shared" ref="M6:M10" si="2">IF(ROUND(J6,3)&gt;0,ROUND(D6*ROUND(J6,3)/100+E6*K6/100+ROUND(L6,2)*G6*B6,2),"")</f>
        <v/>
      </c>
      <c r="N6" s="33">
        <v>8.35</v>
      </c>
      <c r="O6" s="25">
        <f t="shared" ref="O6:O10" si="3">ROUND(IF(C6="nd.",B6*N6*G6,(H6*24*C6*N6)/100),2)</f>
        <v>384.1</v>
      </c>
      <c r="P6" s="33">
        <v>3.613</v>
      </c>
      <c r="Q6" s="25">
        <f t="shared" si="0"/>
        <v>880.16</v>
      </c>
      <c r="R6" s="25">
        <f t="shared" ref="R6:R10" si="4">O6+Q6</f>
        <v>1264.26</v>
      </c>
      <c r="S6" s="25" t="str">
        <f t="shared" ref="S6:S10" si="5">IF(J6&gt;0,M6+R6,"")</f>
        <v/>
      </c>
      <c r="T6" s="25" t="str">
        <f t="shared" ref="T6:T10" si="6">IF(J6&gt;0,ROUND(S6*1.23,2),"")</f>
        <v/>
      </c>
    </row>
    <row r="7" spans="1:20" ht="28.8" customHeight="1">
      <c r="A7" s="20" t="s">
        <v>80</v>
      </c>
      <c r="B7" s="20">
        <v>2</v>
      </c>
      <c r="C7" s="21" t="s">
        <v>71</v>
      </c>
      <c r="D7" s="22">
        <v>44100</v>
      </c>
      <c r="E7" s="22">
        <v>0</v>
      </c>
      <c r="F7" s="22">
        <v>44100</v>
      </c>
      <c r="G7" s="22">
        <v>24</v>
      </c>
      <c r="H7" s="22" t="s">
        <v>71</v>
      </c>
      <c r="I7" s="23" t="s">
        <v>72</v>
      </c>
      <c r="J7" s="31"/>
      <c r="K7" s="24" t="str">
        <f t="shared" si="1"/>
        <v/>
      </c>
      <c r="L7" s="32"/>
      <c r="M7" s="25" t="str">
        <f t="shared" si="2"/>
        <v/>
      </c>
      <c r="N7" s="33">
        <v>8.35</v>
      </c>
      <c r="O7" s="25">
        <f t="shared" si="3"/>
        <v>400.8</v>
      </c>
      <c r="P7" s="33">
        <v>3.613</v>
      </c>
      <c r="Q7" s="25">
        <f t="shared" si="0"/>
        <v>1593.33</v>
      </c>
      <c r="R7" s="25">
        <f t="shared" si="4"/>
        <v>1994.1299999999999</v>
      </c>
      <c r="S7" s="25" t="str">
        <f t="shared" si="5"/>
        <v/>
      </c>
      <c r="T7" s="25" t="str">
        <f t="shared" si="6"/>
        <v/>
      </c>
    </row>
    <row r="8" spans="1:20" ht="28.8" customHeight="1">
      <c r="A8" s="20" t="s">
        <v>80</v>
      </c>
      <c r="B8" s="20">
        <v>1</v>
      </c>
      <c r="C8" s="21" t="s">
        <v>71</v>
      </c>
      <c r="D8" s="22">
        <v>21768</v>
      </c>
      <c r="E8" s="22">
        <v>0</v>
      </c>
      <c r="F8" s="22">
        <v>21768</v>
      </c>
      <c r="G8" s="22">
        <v>24</v>
      </c>
      <c r="H8" s="22" t="s">
        <v>71</v>
      </c>
      <c r="I8" s="23" t="s">
        <v>81</v>
      </c>
      <c r="J8" s="31"/>
      <c r="K8" s="24" t="str">
        <f t="shared" si="1"/>
        <v/>
      </c>
      <c r="L8" s="32"/>
      <c r="M8" s="25" t="str">
        <f t="shared" si="2"/>
        <v/>
      </c>
      <c r="N8" s="33">
        <v>10.56</v>
      </c>
      <c r="O8" s="25">
        <f t="shared" si="3"/>
        <v>253.44</v>
      </c>
      <c r="P8" s="33">
        <v>2.6160000000000001</v>
      </c>
      <c r="Q8" s="25">
        <f t="shared" si="0"/>
        <v>569.45000000000005</v>
      </c>
      <c r="R8" s="25">
        <f t="shared" si="4"/>
        <v>822.8900000000001</v>
      </c>
      <c r="S8" s="25" t="str">
        <f t="shared" si="5"/>
        <v/>
      </c>
      <c r="T8" s="25" t="str">
        <f t="shared" si="6"/>
        <v/>
      </c>
    </row>
    <row r="9" spans="1:20" ht="28.8" customHeight="1">
      <c r="A9" s="20" t="s">
        <v>73</v>
      </c>
      <c r="B9" s="20">
        <v>2</v>
      </c>
      <c r="C9" s="21" t="s">
        <v>71</v>
      </c>
      <c r="D9" s="22">
        <v>0</v>
      </c>
      <c r="E9" s="22">
        <v>120901</v>
      </c>
      <c r="F9" s="22">
        <v>120901</v>
      </c>
      <c r="G9" s="22">
        <v>23</v>
      </c>
      <c r="H9" s="22" t="s">
        <v>71</v>
      </c>
      <c r="I9" s="23" t="s">
        <v>72</v>
      </c>
      <c r="J9" s="31"/>
      <c r="K9" s="24" t="str">
        <f t="shared" si="1"/>
        <v/>
      </c>
      <c r="L9" s="32"/>
      <c r="M9" s="25" t="str">
        <f t="shared" si="2"/>
        <v/>
      </c>
      <c r="N9" s="33">
        <v>32.25</v>
      </c>
      <c r="O9" s="25">
        <f t="shared" si="3"/>
        <v>1483.5</v>
      </c>
      <c r="P9" s="33">
        <v>2.7090000000000001</v>
      </c>
      <c r="Q9" s="25">
        <f t="shared" si="0"/>
        <v>3275.21</v>
      </c>
      <c r="R9" s="25">
        <f t="shared" si="4"/>
        <v>4758.71</v>
      </c>
      <c r="S9" s="25" t="str">
        <f t="shared" si="5"/>
        <v/>
      </c>
      <c r="T9" s="25" t="str">
        <f t="shared" si="6"/>
        <v/>
      </c>
    </row>
    <row r="10" spans="1:20" ht="28.8" customHeight="1">
      <c r="A10" s="20" t="s">
        <v>73</v>
      </c>
      <c r="B10" s="20">
        <v>16</v>
      </c>
      <c r="C10" s="21" t="s">
        <v>71</v>
      </c>
      <c r="D10" s="22">
        <v>735242</v>
      </c>
      <c r="E10" s="22">
        <v>228672</v>
      </c>
      <c r="F10" s="22">
        <v>963914</v>
      </c>
      <c r="G10" s="22">
        <v>24</v>
      </c>
      <c r="H10" s="22" t="s">
        <v>71</v>
      </c>
      <c r="I10" s="23" t="s">
        <v>72</v>
      </c>
      <c r="J10" s="31"/>
      <c r="K10" s="24" t="str">
        <f t="shared" si="1"/>
        <v/>
      </c>
      <c r="L10" s="32"/>
      <c r="M10" s="25" t="str">
        <f t="shared" si="2"/>
        <v/>
      </c>
      <c r="N10" s="33">
        <v>32.25</v>
      </c>
      <c r="O10" s="25">
        <f t="shared" si="3"/>
        <v>12384</v>
      </c>
      <c r="P10" s="33">
        <v>2.7090000000000001</v>
      </c>
      <c r="Q10" s="25">
        <f t="shared" si="0"/>
        <v>26112.43</v>
      </c>
      <c r="R10" s="25">
        <f t="shared" si="4"/>
        <v>38496.43</v>
      </c>
      <c r="S10" s="25" t="str">
        <f t="shared" si="5"/>
        <v/>
      </c>
      <c r="T10" s="25" t="str">
        <f t="shared" si="6"/>
        <v/>
      </c>
    </row>
    <row r="11" spans="1:20" ht="28.8" customHeight="1">
      <c r="A11" s="20" t="s">
        <v>74</v>
      </c>
      <c r="B11" s="20">
        <v>1</v>
      </c>
      <c r="C11" s="21" t="s">
        <v>71</v>
      </c>
      <c r="D11" s="22">
        <v>0</v>
      </c>
      <c r="E11" s="22">
        <v>261163</v>
      </c>
      <c r="F11" s="22">
        <v>261163</v>
      </c>
      <c r="G11" s="22">
        <v>23</v>
      </c>
      <c r="H11" s="22" t="s">
        <v>71</v>
      </c>
      <c r="I11" s="23" t="s">
        <v>72</v>
      </c>
      <c r="J11" s="31"/>
      <c r="K11" s="24" t="str">
        <f t="shared" ref="K11" si="7">IF(ROUND(J11,3)=0,"",ROUND(J11,3)+0.362)</f>
        <v/>
      </c>
      <c r="L11" s="32"/>
      <c r="M11" s="25" t="str">
        <f t="shared" ref="M11" si="8">IF(ROUND(J11,3)&gt;0,ROUND(D11*ROUND(J11,3)/100+E11*K11/100+ROUND(L11,2)*G11*B11,2),"")</f>
        <v/>
      </c>
      <c r="N11" s="33">
        <v>180.18</v>
      </c>
      <c r="O11" s="25">
        <f t="shared" ref="O11" si="9">ROUND(IF(C11="nd.",B11*N11*G11,(H11*24*C11*N11)/100),2)</f>
        <v>4144.1400000000003</v>
      </c>
      <c r="P11" s="33">
        <v>2.6549999999999998</v>
      </c>
      <c r="Q11" s="25">
        <f t="shared" ref="Q11" si="10">ROUND(P11*F11/100,2)</f>
        <v>6933.88</v>
      </c>
      <c r="R11" s="25">
        <f t="shared" ref="R11" si="11">O11+Q11</f>
        <v>11078.02</v>
      </c>
      <c r="S11" s="25" t="str">
        <f t="shared" ref="S11" si="12">IF(J11&gt;0,M11+R11,"")</f>
        <v/>
      </c>
      <c r="T11" s="25" t="str">
        <f t="shared" ref="T11" si="13">IF(J11&gt;0,ROUND(S11*1.23,2),"")</f>
        <v/>
      </c>
    </row>
    <row r="12" spans="1:20" ht="28.8" customHeight="1">
      <c r="A12" s="20" t="s">
        <v>74</v>
      </c>
      <c r="B12" s="20">
        <v>3</v>
      </c>
      <c r="C12" s="21" t="s">
        <v>71</v>
      </c>
      <c r="D12" s="22">
        <v>678446</v>
      </c>
      <c r="E12" s="22">
        <v>0</v>
      </c>
      <c r="F12" s="22">
        <v>678446</v>
      </c>
      <c r="G12" s="22">
        <v>24</v>
      </c>
      <c r="H12" s="22" t="s">
        <v>71</v>
      </c>
      <c r="I12" s="23" t="s">
        <v>72</v>
      </c>
      <c r="J12" s="31"/>
      <c r="K12" s="24" t="str">
        <f t="shared" ref="K12:K13" si="14">IF(ROUND(J12,3)=0,"",ROUND(J12,3)+0.362)</f>
        <v/>
      </c>
      <c r="L12" s="32"/>
      <c r="M12" s="25" t="str">
        <f t="shared" ref="M12:M13" si="15">IF(ROUND(J12,3)&gt;0,ROUND(D12*ROUND(J12,3)/100+E12*K12/100+ROUND(L12,2)*G12*B12,2),"")</f>
        <v/>
      </c>
      <c r="N12" s="33">
        <v>180.18</v>
      </c>
      <c r="O12" s="25">
        <f t="shared" ref="O12:O13" si="16">ROUND(IF(C12="nd.",B12*N12*G12,(H12*24*C12*N12)/100),2)</f>
        <v>12972.96</v>
      </c>
      <c r="P12" s="33">
        <v>2.6549999999999998</v>
      </c>
      <c r="Q12" s="25">
        <f t="shared" ref="Q12:Q13" si="17">ROUND(P12*F12/100,2)</f>
        <v>18012.740000000002</v>
      </c>
      <c r="R12" s="25">
        <f t="shared" ref="R12:R13" si="18">O12+Q12</f>
        <v>30985.7</v>
      </c>
      <c r="S12" s="25" t="str">
        <f t="shared" ref="S12:S13" si="19">IF(J12&gt;0,M12+R12,"")</f>
        <v/>
      </c>
      <c r="T12" s="25" t="str">
        <f t="shared" ref="T12:T13" si="20">IF(J12&gt;0,ROUND(S12*1.23,2),"")</f>
        <v/>
      </c>
    </row>
    <row r="13" spans="1:20" ht="28.8" customHeight="1">
      <c r="A13" s="20" t="s">
        <v>75</v>
      </c>
      <c r="B13" s="20">
        <v>8</v>
      </c>
      <c r="C13" s="21">
        <v>1876</v>
      </c>
      <c r="D13" s="22">
        <v>4446446</v>
      </c>
      <c r="E13" s="22">
        <v>0</v>
      </c>
      <c r="F13" s="22">
        <v>4446446</v>
      </c>
      <c r="G13" s="22">
        <v>24</v>
      </c>
      <c r="H13" s="22">
        <v>731</v>
      </c>
      <c r="I13" s="23" t="s">
        <v>72</v>
      </c>
      <c r="J13" s="31"/>
      <c r="K13" s="24" t="str">
        <f t="shared" si="14"/>
        <v/>
      </c>
      <c r="L13" s="32"/>
      <c r="M13" s="25" t="str">
        <f t="shared" si="15"/>
        <v/>
      </c>
      <c r="N13" s="33">
        <v>0.46600000000000003</v>
      </c>
      <c r="O13" s="25">
        <f t="shared" si="16"/>
        <v>153372.46</v>
      </c>
      <c r="P13" s="33">
        <v>2.407</v>
      </c>
      <c r="Q13" s="25">
        <f t="shared" si="17"/>
        <v>107025.96</v>
      </c>
      <c r="R13" s="25">
        <f t="shared" si="18"/>
        <v>260398.41999999998</v>
      </c>
      <c r="S13" s="25" t="str">
        <f t="shared" si="19"/>
        <v/>
      </c>
      <c r="T13" s="25" t="str">
        <f t="shared" si="20"/>
        <v/>
      </c>
    </row>
    <row r="14" spans="1:20" ht="28.8" customHeight="1">
      <c r="A14" s="20" t="s">
        <v>75</v>
      </c>
      <c r="B14" s="20">
        <v>1</v>
      </c>
      <c r="C14" s="21">
        <v>165</v>
      </c>
      <c r="D14" s="22">
        <v>429128</v>
      </c>
      <c r="E14" s="22">
        <v>0</v>
      </c>
      <c r="F14" s="22">
        <v>429128</v>
      </c>
      <c r="G14" s="22">
        <v>24</v>
      </c>
      <c r="H14" s="22">
        <v>731</v>
      </c>
      <c r="I14" s="23" t="s">
        <v>81</v>
      </c>
      <c r="J14" s="31"/>
      <c r="K14" s="24" t="str">
        <f t="shared" ref="K14" si="21">IF(ROUND(J14,3)=0,"",ROUND(J14,3)+0.362)</f>
        <v/>
      </c>
      <c r="L14" s="32"/>
      <c r="M14" s="25" t="str">
        <f t="shared" ref="M14" si="22">IF(ROUND(J14,3)&gt;0,ROUND(D14*ROUND(J14,3)/100+E14*K14/100+ROUND(L14,2)*G14*B14,2),"")</f>
        <v/>
      </c>
      <c r="N14" s="33">
        <v>0.56699999999999995</v>
      </c>
      <c r="O14" s="25">
        <f t="shared" ref="O14" si="23">ROUND(IF(C14="nd.",B14*N14*G14,(H14*24*C14*N14)/100),2)</f>
        <v>16413.29</v>
      </c>
      <c r="P14" s="33">
        <v>1.62</v>
      </c>
      <c r="Q14" s="25">
        <f t="shared" ref="Q14" si="24">ROUND(P14*F14/100,2)</f>
        <v>6951.87</v>
      </c>
      <c r="R14" s="25">
        <f t="shared" ref="R14" si="25">O14+Q14</f>
        <v>23365.16</v>
      </c>
      <c r="S14" s="25" t="str">
        <f t="shared" ref="S14" si="26">IF(J14&gt;0,M14+R14,"")</f>
        <v/>
      </c>
      <c r="T14" s="25" t="str">
        <f t="shared" ref="T14" si="27">IF(J14&gt;0,ROUND(S14*1.23,2),"")</f>
        <v/>
      </c>
    </row>
    <row r="15" spans="1:20" ht="31.2" customHeight="1">
      <c r="R15" s="28" t="s">
        <v>76</v>
      </c>
      <c r="S15" s="25" t="str">
        <f>IF(SUM(S5:S14)=0,"",SUM(S5:S14))</f>
        <v/>
      </c>
      <c r="T15" s="25" t="str">
        <f>IF(SUM(T5:T14)=0,"",SUM(T5:T14))</f>
        <v/>
      </c>
    </row>
    <row r="16" spans="1:20" ht="64.2" customHeight="1">
      <c r="A16" s="34" t="s">
        <v>77</v>
      </c>
      <c r="B16" s="35"/>
      <c r="C16" s="35"/>
      <c r="D16" s="35"/>
      <c r="E16" s="35"/>
      <c r="F16" s="35"/>
      <c r="G16" s="35"/>
      <c r="H16" s="35"/>
      <c r="I16" s="36"/>
    </row>
    <row r="17" spans="1:10" ht="15.6">
      <c r="A17" s="34" t="s">
        <v>83</v>
      </c>
      <c r="B17" s="35"/>
      <c r="C17" s="35"/>
      <c r="D17" s="35"/>
      <c r="E17" s="35"/>
      <c r="F17" s="35"/>
      <c r="G17" s="35"/>
      <c r="H17" s="35"/>
      <c r="I17" s="36"/>
    </row>
    <row r="32" spans="1:10">
      <c r="J32" s="27"/>
    </row>
  </sheetData>
  <sheetProtection algorithmName="SHA-512" hashValue="QQiDtkZDS7tQXZO57MJacm5AQGtIjDqMvWUijdZhQ7hAQ1I6ve9+bYZDf8GQXcGDaD/k8FY4POj7aN/8JFRzag==" saltValue="SBIi/TYirjdvhVjdmIOtyw==" spinCount="100000" sheet="1" objects="1" scenarios="1"/>
  <protectedRanges>
    <protectedRange sqref="L5:L14" name="Rozstęp2"/>
    <protectedRange sqref="J5:J14" name="Rozstęp1"/>
  </protectedRanges>
  <mergeCells count="14">
    <mergeCell ref="A17:I17"/>
    <mergeCell ref="A16:I16"/>
    <mergeCell ref="J2:M2"/>
    <mergeCell ref="N2:R2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Admin</cp:lastModifiedBy>
  <cp:lastPrinted>2018-10-01T12:21:50Z</cp:lastPrinted>
  <dcterms:created xsi:type="dcterms:W3CDTF">2010-01-11T11:46:38Z</dcterms:created>
  <dcterms:modified xsi:type="dcterms:W3CDTF">2018-10-12T07:58:38Z</dcterms:modified>
</cp:coreProperties>
</file>