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E 2020.03.13\GZ Skarżysko\gaz #3 przetarg\"/>
    </mc:Choice>
  </mc:AlternateContent>
  <xr:revisionPtr revIDLastSave="0" documentId="13_ncr:1_{9E202A1D-2FA3-496C-BDD1-BC1CA2BB17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Arkusz1!$A$4:$AA$21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P17" i="1"/>
  <c r="T17" i="1"/>
  <c r="V17" i="1"/>
  <c r="Z17" i="1"/>
  <c r="P6" i="1"/>
  <c r="P5" i="1"/>
  <c r="N6" i="1"/>
  <c r="N5" i="1"/>
  <c r="N8" i="1"/>
  <c r="R8" i="1" s="1"/>
  <c r="P8" i="1"/>
  <c r="T8" i="1"/>
  <c r="V8" i="1"/>
  <c r="Z8" i="1"/>
  <c r="N9" i="1"/>
  <c r="P9" i="1"/>
  <c r="R9" i="1" s="1"/>
  <c r="T9" i="1"/>
  <c r="V9" i="1"/>
  <c r="Z9" i="1"/>
  <c r="N10" i="1"/>
  <c r="R10" i="1" s="1"/>
  <c r="P10" i="1"/>
  <c r="T10" i="1"/>
  <c r="V10" i="1"/>
  <c r="Z10" i="1"/>
  <c r="N11" i="1"/>
  <c r="P11" i="1"/>
  <c r="R11" i="1" s="1"/>
  <c r="T11" i="1"/>
  <c r="V11" i="1"/>
  <c r="Z11" i="1"/>
  <c r="N12" i="1"/>
  <c r="P12" i="1"/>
  <c r="R12" i="1"/>
  <c r="T12" i="1"/>
  <c r="V12" i="1"/>
  <c r="Z12" i="1"/>
  <c r="N13" i="1"/>
  <c r="P13" i="1"/>
  <c r="T13" i="1"/>
  <c r="V13" i="1"/>
  <c r="Z13" i="1"/>
  <c r="N14" i="1"/>
  <c r="P14" i="1"/>
  <c r="R14" i="1"/>
  <c r="T14" i="1"/>
  <c r="W14" i="1" s="1"/>
  <c r="V14" i="1"/>
  <c r="Z14" i="1"/>
  <c r="N15" i="1"/>
  <c r="P15" i="1"/>
  <c r="R15" i="1" s="1"/>
  <c r="T15" i="1"/>
  <c r="V15" i="1"/>
  <c r="Z15" i="1"/>
  <c r="N16" i="1"/>
  <c r="R16" i="1" s="1"/>
  <c r="P16" i="1"/>
  <c r="T16" i="1"/>
  <c r="V16" i="1"/>
  <c r="Z16" i="1"/>
  <c r="Z18" i="1"/>
  <c r="V18" i="1"/>
  <c r="P18" i="1"/>
  <c r="N18" i="1"/>
  <c r="Z7" i="1"/>
  <c r="P7" i="1"/>
  <c r="N7" i="1"/>
  <c r="Z6" i="1"/>
  <c r="V6" i="1"/>
  <c r="Z5" i="1"/>
  <c r="V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W17" i="1" l="1"/>
  <c r="W9" i="1"/>
  <c r="R17" i="1"/>
  <c r="X17" i="1" s="1"/>
  <c r="Y17" i="1" s="1"/>
  <c r="W13" i="1"/>
  <c r="W16" i="1"/>
  <c r="X16" i="1" s="1"/>
  <c r="Y16" i="1" s="1"/>
  <c r="X14" i="1"/>
  <c r="Y14" i="1" s="1"/>
  <c r="X9" i="1"/>
  <c r="Y9" i="1" s="1"/>
  <c r="W8" i="1"/>
  <c r="X8" i="1" s="1"/>
  <c r="Y8" i="1" s="1"/>
  <c r="W15" i="1"/>
  <c r="X15" i="1" s="1"/>
  <c r="Y15" i="1" s="1"/>
  <c r="R13" i="1"/>
  <c r="W10" i="1"/>
  <c r="X10" i="1" s="1"/>
  <c r="Y10" i="1" s="1"/>
  <c r="W12" i="1"/>
  <c r="X12" i="1" s="1"/>
  <c r="Y12" i="1" s="1"/>
  <c r="W11" i="1"/>
  <c r="X11" i="1" s="1"/>
  <c r="Y11" i="1" s="1"/>
  <c r="R6" i="1"/>
  <c r="R18" i="1"/>
  <c r="R7" i="1"/>
  <c r="R5" i="1"/>
  <c r="T7" i="1"/>
  <c r="T6" i="1"/>
  <c r="W6" i="1" s="1"/>
  <c r="T5" i="1"/>
  <c r="W5" i="1" s="1"/>
  <c r="V7" i="1"/>
  <c r="T18" i="1"/>
  <c r="W18" i="1" s="1"/>
  <c r="X13" i="1" l="1"/>
  <c r="Y13" i="1" s="1"/>
  <c r="X18" i="1"/>
  <c r="Y18" i="1" s="1"/>
  <c r="X6" i="1"/>
  <c r="Y6" i="1" s="1"/>
  <c r="X5" i="1"/>
  <c r="Y5" i="1" s="1"/>
  <c r="W7" i="1"/>
  <c r="X7" i="1" s="1"/>
  <c r="Y7" i="1" s="1"/>
  <c r="X19" i="1" l="1"/>
  <c r="Y19" i="1"/>
</calcChain>
</file>

<file path=xl/sharedStrings.xml><?xml version="1.0" encoding="utf-8"?>
<sst xmlns="http://schemas.openxmlformats.org/spreadsheetml/2006/main" count="125" uniqueCount="66">
  <si>
    <t>Liczba punktów poboru</t>
  </si>
  <si>
    <t>Liczba miesięcy</t>
  </si>
  <si>
    <t>Liczba dni</t>
  </si>
  <si>
    <t>Oddział dystrybucji</t>
  </si>
  <si>
    <t>nd.</t>
  </si>
  <si>
    <t>SUMA:</t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</si>
  <si>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</si>
  <si>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</si>
  <si>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</si>
  <si>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</si>
  <si>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</si>
  <si>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</si>
  <si>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</si>
  <si>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Tarnów</t>
  </si>
  <si>
    <t>W-3.6_TA</t>
  </si>
  <si>
    <t>W-4_TA</t>
  </si>
  <si>
    <t>W-5.1_TA</t>
  </si>
  <si>
    <t>Załącznik nr 3 do SWZ - Formularz cenowy</t>
  </si>
  <si>
    <t>W-1.1_TA</t>
  </si>
  <si>
    <t>W-2.1_TA</t>
  </si>
  <si>
    <t>Stawka podatku VAT</t>
  </si>
  <si>
    <t>Okres dostawy</t>
  </si>
  <si>
    <t>Grupa taryfowa OSD</t>
  </si>
  <si>
    <t>Grupa taryfowa sprzedawcy</t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</si>
  <si>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</si>
  <si>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</si>
  <si>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</si>
  <si>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</si>
  <si>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 xml:space="preserve">Cena jednostkowa za paliwo gazowe, którego nie obejmuje ochrona taryfowa,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</si>
  <si>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rPr>
        <b/>
        <sz val="9"/>
        <rFont val="Calibri"/>
        <family val="2"/>
        <charset val="238"/>
        <scheme val="minor"/>
      </rPr>
      <t>Łączny koszt paliwa gazowego</t>
    </r>
    <r>
      <rPr>
        <sz val="9"/>
        <rFont val="Calibri"/>
        <family val="2"/>
        <charset val="238"/>
        <scheme val="minor"/>
      </rPr>
      <t xml:space="preserve"> (zł)
(kol. 5 × kol. 13) /100 + (kol. 6 × kol. 14) /100 + (kol. 7 × kol. 15) /100 + (kol. 8 × kol. 16) /100 + (kol. 3 × kol. 10 × kol. 17)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</si>
  <si>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</si>
  <si>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3 × kol. 10 × kol. 19) 
dla grup taryfowych z ozn.
W-1, W-2, W-3, W-4
b) (kol. 4 × kol. 11 × 24 h × kol. 19) /100 
dla grup taryfowych z ozn.
W-5, W-6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</si>
  <si>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9 × kol. 21)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</si>
  <si>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Łączny koszt usługi dystrybucji</t>
    </r>
    <r>
      <rPr>
        <sz val="9"/>
        <rFont val="Calibri"/>
        <family val="2"/>
        <charset val="238"/>
        <scheme val="minor"/>
      </rPr>
      <t xml:space="preserve"> (zł)
(kol. 20 + kol. 22)</t>
    </r>
  </si>
  <si>
    <t>(suma kol. 18 
+ kol. 23)</t>
  </si>
  <si>
    <r>
      <t xml:space="preserve">((kol. 24) 
× (1 + kol. 26))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</si>
  <si>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BW-1.1</t>
  </si>
  <si>
    <t>BW-2.1</t>
  </si>
  <si>
    <t>BW-3.6</t>
  </si>
  <si>
    <t>BW-4</t>
  </si>
  <si>
    <t>BW-5</t>
  </si>
  <si>
    <r>
      <rPr>
        <b/>
        <sz val="9"/>
        <rFont val="Calibri"/>
        <family val="2"/>
        <charset val="238"/>
        <scheme val="minor"/>
      </rPr>
      <t xml:space="preserve">Cena jednostkowa za paliwo gazowe objęte ochroną taryfową**,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</si>
  <si>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t>**Rozliczenia kosztów dystrybucji dla wszystkich odbiorców oraz kosztów paliwa gazowego dla odbiorców chronionych będą prowadzone zgodnie z taryfami obowiązującymi w okresie dostawy.</t>
  </si>
  <si>
    <t>01.01.2023 – 31.12.2023</t>
  </si>
  <si>
    <t>Czy dane punkty poboru podlegają pełnej lub częściowej ochronie taryfowej (informacja podana w celu ustalenia wysokości abonamentu/opłaty handlowej w przypadku grup taryfowych BW-2.2, BW-3.6, BW-6):</t>
  </si>
  <si>
    <t>-28-</t>
  </si>
  <si>
    <t>nie</t>
  </si>
  <si>
    <t>nie dotyczy</t>
  </si>
  <si>
    <t>tak</t>
  </si>
  <si>
    <r>
      <t xml:space="preserve">Cena jednostkowa za paliwo gazowe objęte ochroną taryfową**, z akcyzą*
</t>
    </r>
    <r>
      <rPr>
        <sz val="9"/>
        <rFont val="Calibri"/>
        <family val="2"/>
        <charset val="238"/>
        <scheme val="minor"/>
      </rPr>
      <t>[gr/kWh]
a) (kol. 13 + 0,39)
dla grup taryfowych W
b) (kol. 13 + 0,414)
dla grup taryfowych Ls</t>
    </r>
  </si>
  <si>
    <r>
      <t xml:space="preserve">Cena jednostkowa za paliwo gazowe, którego nie obejmuje ochrona taryfowa, z akcyzą*
</t>
    </r>
    <r>
      <rPr>
        <sz val="9"/>
        <rFont val="Calibri"/>
        <family val="2"/>
        <charset val="238"/>
        <scheme val="minor"/>
      </rPr>
      <t>[gr/kWh]
a) (kol. 13 + 0,39)
dla grup taryfowych W
b) (kol. 13 + 0,414)
dla grup taryfowych Ls</t>
    </r>
  </si>
  <si>
    <t>Ls-3.6_WR</t>
  </si>
  <si>
    <t>BZ-3.12T</t>
  </si>
  <si>
    <t>PSG Sp. z o.o. - Wrocław</t>
  </si>
  <si>
    <t>Ls-4_WR</t>
  </si>
  <si>
    <t>Z-4</t>
  </si>
  <si>
    <t>W-2.1_WA</t>
  </si>
  <si>
    <t>PSG Sp. z o.o. - Warszawa</t>
  </si>
  <si>
    <t>BW-3.12T</t>
  </si>
  <si>
    <t>W-5.1_WA</t>
  </si>
  <si>
    <t>W-5.1_WR</t>
  </si>
  <si>
    <t>W-6A.1_TA</t>
  </si>
  <si>
    <t>BW-6</t>
  </si>
  <si>
    <t>W-6A.1_WR</t>
  </si>
  <si>
    <r>
      <t xml:space="preserve">*Stawkę podatku akcyzowego 1,38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standardową wartość ciepła spalania 39,5 MJ/m3 dla gazu E oraz 28,8 MJ/m3 dla gazu Ls.</t>
    </r>
  </si>
  <si>
    <r>
      <rPr>
        <b/>
        <sz val="9"/>
        <rFont val="Calibri"/>
        <family val="2"/>
        <charset val="238"/>
        <scheme val="minor"/>
      </rPr>
      <t>Opłata handlowa/abonament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</si>
</sst>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tabSelected="1" zoomScale="70" zoomScaleNormal="70" workbookViewId="0">
      <selection activeCell="K22" sqref="K22"/>
    </sheetView>
  </sheetViews>
  <sheetFormatPr defaultRowHeight="14.4" x14ac:dyDescent="0.3"/>
  <cols>
    <col min="1" max="2" width="10.5546875" style="9" customWidth="1"/>
    <col min="3" max="3" width="9.6640625" style="9" customWidth="1"/>
    <col min="4" max="4" width="7.109375" style="9" customWidth="1"/>
    <col min="5" max="8" width="19.6640625" style="9" customWidth="1"/>
    <col min="9" max="9" width="14.109375" style="9" customWidth="1"/>
    <col min="10" max="10" width="10" style="9" customWidth="1"/>
    <col min="11" max="11" width="8.21875" style="9" bestFit="1" customWidth="1"/>
    <col min="12" max="12" width="20.88671875" style="9" customWidth="1"/>
    <col min="13" max="13" width="15.88671875" style="9" customWidth="1"/>
    <col min="14" max="14" width="19.77734375" style="9" customWidth="1"/>
    <col min="15" max="15" width="15.88671875" style="9" customWidth="1"/>
    <col min="16" max="16" width="19.21875" style="9" customWidth="1"/>
    <col min="17" max="17" width="12.33203125" style="9" customWidth="1"/>
    <col min="18" max="18" width="17.88671875" style="9" customWidth="1"/>
    <col min="19" max="19" width="20" style="9" customWidth="1"/>
    <col min="20" max="20" width="22.109375" style="9" customWidth="1"/>
    <col min="21" max="21" width="12.109375" style="9" customWidth="1"/>
    <col min="22" max="22" width="15.33203125" style="9" customWidth="1"/>
    <col min="23" max="23" width="13.33203125" style="9" customWidth="1"/>
    <col min="24" max="25" width="12.44140625" style="9" customWidth="1"/>
    <col min="26" max="26" width="7.88671875" customWidth="1"/>
    <col min="27" max="27" width="20.33203125" customWidth="1"/>
    <col min="28" max="28" width="26.33203125" customWidth="1"/>
    <col min="29" max="29" width="9.88671875" bestFit="1" customWidth="1"/>
  </cols>
  <sheetData>
    <row r="1" spans="1:28" ht="15.75" customHeight="1" x14ac:dyDescent="0.3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4" customHeight="1" x14ac:dyDescent="0.3">
      <c r="A2" s="23" t="s">
        <v>22</v>
      </c>
      <c r="B2" s="28" t="s">
        <v>23</v>
      </c>
      <c r="C2" s="23" t="s">
        <v>0</v>
      </c>
      <c r="D2" s="23" t="s">
        <v>7</v>
      </c>
      <c r="E2" s="24" t="s">
        <v>24</v>
      </c>
      <c r="F2" s="24" t="s">
        <v>25</v>
      </c>
      <c r="G2" s="24" t="s">
        <v>26</v>
      </c>
      <c r="H2" s="24" t="s">
        <v>27</v>
      </c>
      <c r="I2" s="24" t="s">
        <v>8</v>
      </c>
      <c r="J2" s="23" t="s">
        <v>1</v>
      </c>
      <c r="K2" s="23" t="s">
        <v>2</v>
      </c>
      <c r="L2" s="23" t="s">
        <v>3</v>
      </c>
      <c r="M2" s="25" t="s">
        <v>9</v>
      </c>
      <c r="N2" s="25"/>
      <c r="O2" s="25"/>
      <c r="P2" s="25"/>
      <c r="Q2" s="25"/>
      <c r="R2" s="25"/>
      <c r="S2" s="25" t="s">
        <v>10</v>
      </c>
      <c r="T2" s="25"/>
      <c r="U2" s="25"/>
      <c r="V2" s="25"/>
      <c r="W2" s="25"/>
      <c r="X2" s="1" t="s">
        <v>11</v>
      </c>
      <c r="Y2" s="1" t="s">
        <v>12</v>
      </c>
      <c r="Z2" s="1"/>
      <c r="AA2" s="12"/>
      <c r="AB2" s="12"/>
    </row>
    <row r="3" spans="1:28" ht="144" x14ac:dyDescent="0.3">
      <c r="A3" s="23"/>
      <c r="B3" s="29"/>
      <c r="C3" s="23"/>
      <c r="D3" s="23"/>
      <c r="E3" s="24"/>
      <c r="F3" s="24"/>
      <c r="G3" s="24"/>
      <c r="H3" s="24"/>
      <c r="I3" s="24"/>
      <c r="J3" s="23"/>
      <c r="K3" s="23"/>
      <c r="L3" s="23"/>
      <c r="M3" s="17" t="s">
        <v>41</v>
      </c>
      <c r="N3" s="16" t="s">
        <v>49</v>
      </c>
      <c r="O3" s="17" t="s">
        <v>28</v>
      </c>
      <c r="P3" s="16" t="s">
        <v>50</v>
      </c>
      <c r="Q3" s="17" t="s">
        <v>65</v>
      </c>
      <c r="R3" s="17" t="s">
        <v>29</v>
      </c>
      <c r="S3" s="17" t="s">
        <v>30</v>
      </c>
      <c r="T3" s="17" t="s">
        <v>31</v>
      </c>
      <c r="U3" s="16" t="s">
        <v>6</v>
      </c>
      <c r="V3" s="17" t="s">
        <v>32</v>
      </c>
      <c r="W3" s="17" t="s">
        <v>33</v>
      </c>
      <c r="X3" s="17" t="s">
        <v>34</v>
      </c>
      <c r="Y3" s="17" t="s">
        <v>35</v>
      </c>
      <c r="Z3" s="17" t="s">
        <v>20</v>
      </c>
      <c r="AA3" s="13" t="s">
        <v>21</v>
      </c>
      <c r="AB3" s="13" t="s">
        <v>44</v>
      </c>
    </row>
    <row r="4" spans="1:28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  <c r="U4" s="2" t="str">
        <f>"-21-"</f>
        <v>-21-</v>
      </c>
      <c r="V4" s="14" t="str">
        <f>"-22-"</f>
        <v>-22-</v>
      </c>
      <c r="W4" s="2" t="str">
        <f>"-23-"</f>
        <v>-23-</v>
      </c>
      <c r="X4" s="2" t="str">
        <f>"-24-"</f>
        <v>-24-</v>
      </c>
      <c r="Y4" s="2" t="str">
        <f>"-25-"</f>
        <v>-25-</v>
      </c>
      <c r="Z4" s="2" t="str">
        <f>"-26-"</f>
        <v>-26-</v>
      </c>
      <c r="AA4" s="2" t="str">
        <f>"-27-"</f>
        <v>-27-</v>
      </c>
      <c r="AB4" s="2" t="s">
        <v>45</v>
      </c>
    </row>
    <row r="5" spans="1:28" ht="22.2" customHeight="1" x14ac:dyDescent="0.3">
      <c r="A5" s="2" t="s">
        <v>51</v>
      </c>
      <c r="B5" s="2" t="s">
        <v>52</v>
      </c>
      <c r="C5" s="2">
        <v>1</v>
      </c>
      <c r="D5" s="3" t="s">
        <v>4</v>
      </c>
      <c r="E5" s="4">
        <v>13612</v>
      </c>
      <c r="F5" s="4">
        <v>0</v>
      </c>
      <c r="G5" s="4">
        <v>0</v>
      </c>
      <c r="H5" s="4">
        <v>0</v>
      </c>
      <c r="I5" s="4">
        <v>13612</v>
      </c>
      <c r="J5" s="4">
        <v>12</v>
      </c>
      <c r="K5" s="4" t="s">
        <v>4</v>
      </c>
      <c r="L5" s="5" t="s">
        <v>53</v>
      </c>
      <c r="M5" s="18"/>
      <c r="N5" s="6" t="str">
        <f>IF(ROUND(M5,3)=0,"",ROUND(M5,3)+0.414)</f>
        <v/>
      </c>
      <c r="O5" s="18"/>
      <c r="P5" s="6" t="str">
        <f>IF(ROUND(O5,3)=0,"",ROUND(O5,3)+0.414)</f>
        <v/>
      </c>
      <c r="Q5" s="19"/>
      <c r="R5" s="7" t="str">
        <f>IFERROR(IF(ROUND(M5,3)&gt;0,ROUND(E5*ROUND(M5,3)/100+F5*N5/100
+G5*ROUND(O5,3)/100+H5*P5/100
+ROUND(Q5,2)*J5*C5,2),""),"")</f>
        <v/>
      </c>
      <c r="S5" s="8">
        <v>26.96</v>
      </c>
      <c r="T5" s="7">
        <f t="shared" ref="T5:T18" si="0">ROUND(IF(D5="nd.",C5*S5*J5,(K5*24*D5*S5)/100),2)</f>
        <v>323.52</v>
      </c>
      <c r="U5" s="8">
        <v>2.9929999999999999</v>
      </c>
      <c r="V5" s="7">
        <f t="shared" ref="V5:V18" si="1">ROUND(U5*I5/100,2)</f>
        <v>407.41</v>
      </c>
      <c r="W5" s="7">
        <f t="shared" ref="W5:W18" si="2">T5+V5</f>
        <v>730.93000000000006</v>
      </c>
      <c r="X5" s="7" t="str">
        <f t="shared" ref="X5:X18" si="3">IF(M5&gt;0,R5+W5,"")</f>
        <v/>
      </c>
      <c r="Y5" s="7" t="str">
        <f t="shared" ref="Y5:Y18" si="4">IF(M5&gt;0,ROUND(X5*(1+Z5),2),"")</f>
        <v/>
      </c>
      <c r="Z5" s="15">
        <f>23%</f>
        <v>0.23</v>
      </c>
      <c r="AA5" s="14" t="s">
        <v>43</v>
      </c>
      <c r="AB5" s="14" t="s">
        <v>47</v>
      </c>
    </row>
    <row r="6" spans="1:28" ht="22.2" customHeight="1" x14ac:dyDescent="0.3">
      <c r="A6" s="2" t="s">
        <v>54</v>
      </c>
      <c r="B6" s="2" t="s">
        <v>55</v>
      </c>
      <c r="C6" s="2">
        <v>1</v>
      </c>
      <c r="D6" s="3" t="s">
        <v>4</v>
      </c>
      <c r="E6" s="4">
        <v>311100</v>
      </c>
      <c r="F6" s="4">
        <v>0</v>
      </c>
      <c r="G6" s="4">
        <v>0</v>
      </c>
      <c r="H6" s="4">
        <v>0</v>
      </c>
      <c r="I6" s="4">
        <v>311100</v>
      </c>
      <c r="J6" s="4">
        <v>12</v>
      </c>
      <c r="K6" s="4" t="s">
        <v>4</v>
      </c>
      <c r="L6" s="5" t="s">
        <v>53</v>
      </c>
      <c r="M6" s="18"/>
      <c r="N6" s="6" t="str">
        <f>IF(ROUND(M6,3)=0,"",ROUND(M6,3)+0.414)</f>
        <v/>
      </c>
      <c r="O6" s="18"/>
      <c r="P6" s="6" t="str">
        <f>IF(ROUND(O6,3)=0,"",ROUND(O6,3)+0.414)</f>
        <v/>
      </c>
      <c r="Q6" s="19"/>
      <c r="R6" s="7" t="str">
        <f t="shared" ref="R6:R18" si="5">IFERROR(IF(ROUND(M6,3)&gt;0,ROUND(E6*ROUND(M6,3)/100+F6*N6/100
+G6*ROUND(O6,3)/100+H6*P6/100
+ROUND(Q6,2)*J6*C6,2),""),"")</f>
        <v/>
      </c>
      <c r="S6" s="8">
        <v>131.41999999999999</v>
      </c>
      <c r="T6" s="7">
        <f t="shared" si="0"/>
        <v>1577.04</v>
      </c>
      <c r="U6" s="8">
        <v>2.7360000000000002</v>
      </c>
      <c r="V6" s="7">
        <f t="shared" si="1"/>
        <v>8511.7000000000007</v>
      </c>
      <c r="W6" s="7">
        <f t="shared" si="2"/>
        <v>10088.740000000002</v>
      </c>
      <c r="X6" s="7" t="str">
        <f t="shared" si="3"/>
        <v/>
      </c>
      <c r="Y6" s="7" t="str">
        <f t="shared" si="4"/>
        <v/>
      </c>
      <c r="Z6" s="15">
        <f>23%</f>
        <v>0.23</v>
      </c>
      <c r="AA6" s="14" t="s">
        <v>43</v>
      </c>
      <c r="AB6" s="14" t="s">
        <v>47</v>
      </c>
    </row>
    <row r="7" spans="1:28" ht="22.2" customHeight="1" x14ac:dyDescent="0.3">
      <c r="A7" s="2" t="s">
        <v>18</v>
      </c>
      <c r="B7" s="2" t="s">
        <v>36</v>
      </c>
      <c r="C7" s="2">
        <v>7</v>
      </c>
      <c r="D7" s="3" t="s">
        <v>4</v>
      </c>
      <c r="E7" s="4">
        <v>10737</v>
      </c>
      <c r="F7" s="4">
        <v>0</v>
      </c>
      <c r="G7" s="4">
        <v>3944</v>
      </c>
      <c r="H7" s="4">
        <v>0</v>
      </c>
      <c r="I7" s="4">
        <v>14681</v>
      </c>
      <c r="J7" s="4">
        <v>12</v>
      </c>
      <c r="K7" s="4" t="s">
        <v>4</v>
      </c>
      <c r="L7" s="5" t="s">
        <v>13</v>
      </c>
      <c r="M7" s="18"/>
      <c r="N7" s="6" t="str">
        <f t="shared" ref="N7:P18" si="6">IF(ROUND(M7,3)=0,"",ROUND(M7,3)+0.39)</f>
        <v/>
      </c>
      <c r="O7" s="18"/>
      <c r="P7" s="6" t="str">
        <f t="shared" si="6"/>
        <v/>
      </c>
      <c r="Q7" s="19"/>
      <c r="R7" s="7" t="str">
        <f t="shared" si="5"/>
        <v/>
      </c>
      <c r="S7" s="8">
        <v>3.55</v>
      </c>
      <c r="T7" s="7">
        <f t="shared" si="0"/>
        <v>298.2</v>
      </c>
      <c r="U7" s="8">
        <v>5.3760000000000003</v>
      </c>
      <c r="V7" s="7">
        <f t="shared" si="1"/>
        <v>789.25</v>
      </c>
      <c r="W7" s="7">
        <f t="shared" si="2"/>
        <v>1087.45</v>
      </c>
      <c r="X7" s="7" t="str">
        <f t="shared" si="3"/>
        <v/>
      </c>
      <c r="Y7" s="7" t="str">
        <f t="shared" si="4"/>
        <v/>
      </c>
      <c r="Z7" s="15">
        <f>23%</f>
        <v>0.23</v>
      </c>
      <c r="AA7" s="14" t="s">
        <v>43</v>
      </c>
      <c r="AB7" s="14" t="s">
        <v>47</v>
      </c>
    </row>
    <row r="8" spans="1:28" ht="22.2" customHeight="1" x14ac:dyDescent="0.3">
      <c r="A8" s="2" t="s">
        <v>19</v>
      </c>
      <c r="B8" s="2" t="s">
        <v>37</v>
      </c>
      <c r="C8" s="2">
        <v>9</v>
      </c>
      <c r="D8" s="3" t="s">
        <v>4</v>
      </c>
      <c r="E8" s="4">
        <v>85464</v>
      </c>
      <c r="F8" s="4">
        <v>0</v>
      </c>
      <c r="G8" s="4">
        <v>3360</v>
      </c>
      <c r="H8" s="4">
        <v>0</v>
      </c>
      <c r="I8" s="4">
        <v>88824</v>
      </c>
      <c r="J8" s="4">
        <v>12</v>
      </c>
      <c r="K8" s="4" t="s">
        <v>4</v>
      </c>
      <c r="L8" s="5" t="s">
        <v>13</v>
      </c>
      <c r="M8" s="18"/>
      <c r="N8" s="6" t="str">
        <f t="shared" ref="N8:N16" si="7">IF(ROUND(M8,3)=0,"",ROUND(M8,3)+0.39)</f>
        <v/>
      </c>
      <c r="O8" s="18"/>
      <c r="P8" s="6" t="str">
        <f t="shared" ref="P8:P16" si="8">IF(ROUND(O8,3)=0,"",ROUND(O8,3)+0.39)</f>
        <v/>
      </c>
      <c r="Q8" s="19"/>
      <c r="R8" s="7" t="str">
        <f t="shared" ref="R8:R16" si="9">IFERROR(IF(ROUND(M8,3)&gt;0,ROUND(E8*ROUND(M8,3)/100+F8*N8/100
+G8*ROUND(O8,3)/100+H8*P8/100
+ROUND(Q8,2)*J8*C8,2),""),"")</f>
        <v/>
      </c>
      <c r="S8" s="8">
        <v>9.0399999999999991</v>
      </c>
      <c r="T8" s="7">
        <f t="shared" ref="T8:T16" si="10">ROUND(IF(D8="nd.",C8*S8*J8,(K8*24*D8*S8)/100),2)</f>
        <v>976.32</v>
      </c>
      <c r="U8" s="8">
        <v>3.91</v>
      </c>
      <c r="V8" s="7">
        <f t="shared" ref="V8:V16" si="11">ROUND(U8*I8/100,2)</f>
        <v>3473.02</v>
      </c>
      <c r="W8" s="7">
        <f t="shared" ref="W8:W16" si="12">T8+V8</f>
        <v>4449.34</v>
      </c>
      <c r="X8" s="7" t="str">
        <f t="shared" ref="X8:X16" si="13">IF(M8&gt;0,R8+W8,"")</f>
        <v/>
      </c>
      <c r="Y8" s="7" t="str">
        <f t="shared" ref="Y8:Y16" si="14">IF(M8&gt;0,ROUND(X8*(1+Z8),2),"")</f>
        <v/>
      </c>
      <c r="Z8" s="15">
        <f>23%</f>
        <v>0.23</v>
      </c>
      <c r="AA8" s="14" t="s">
        <v>43</v>
      </c>
      <c r="AB8" s="14" t="s">
        <v>47</v>
      </c>
    </row>
    <row r="9" spans="1:28" ht="22.2" customHeight="1" x14ac:dyDescent="0.3">
      <c r="A9" s="2" t="s">
        <v>56</v>
      </c>
      <c r="B9" s="2" t="s">
        <v>37</v>
      </c>
      <c r="C9" s="2">
        <v>1</v>
      </c>
      <c r="D9" s="3" t="s">
        <v>4</v>
      </c>
      <c r="E9" s="4">
        <v>0</v>
      </c>
      <c r="F9" s="4">
        <v>0</v>
      </c>
      <c r="G9" s="4">
        <v>10884</v>
      </c>
      <c r="H9" s="4">
        <v>0</v>
      </c>
      <c r="I9" s="4">
        <v>10884</v>
      </c>
      <c r="J9" s="4">
        <v>12</v>
      </c>
      <c r="K9" s="4" t="s">
        <v>4</v>
      </c>
      <c r="L9" s="5" t="s">
        <v>57</v>
      </c>
      <c r="M9" s="18"/>
      <c r="N9" s="6" t="str">
        <f t="shared" si="7"/>
        <v/>
      </c>
      <c r="O9" s="18"/>
      <c r="P9" s="6" t="str">
        <f t="shared" si="8"/>
        <v/>
      </c>
      <c r="Q9" s="19"/>
      <c r="R9" s="7" t="str">
        <f t="shared" si="9"/>
        <v/>
      </c>
      <c r="S9" s="8">
        <v>11.43</v>
      </c>
      <c r="T9" s="7">
        <f t="shared" si="10"/>
        <v>137.16</v>
      </c>
      <c r="U9" s="8">
        <v>2.8319999999999999</v>
      </c>
      <c r="V9" s="7">
        <f t="shared" si="11"/>
        <v>308.23</v>
      </c>
      <c r="W9" s="7">
        <f t="shared" si="12"/>
        <v>445.39</v>
      </c>
      <c r="X9" s="7" t="str">
        <f t="shared" si="13"/>
        <v/>
      </c>
      <c r="Y9" s="7" t="str">
        <f t="shared" si="14"/>
        <v/>
      </c>
      <c r="Z9" s="15">
        <f>23%</f>
        <v>0.23</v>
      </c>
      <c r="AA9" s="14" t="s">
        <v>43</v>
      </c>
      <c r="AB9" s="14" t="s">
        <v>47</v>
      </c>
    </row>
    <row r="10" spans="1:28" ht="22.2" customHeight="1" x14ac:dyDescent="0.3">
      <c r="A10" s="2" t="s">
        <v>14</v>
      </c>
      <c r="B10" s="2" t="s">
        <v>58</v>
      </c>
      <c r="C10" s="2">
        <v>1</v>
      </c>
      <c r="D10" s="3" t="s">
        <v>4</v>
      </c>
      <c r="E10" s="4">
        <v>36019</v>
      </c>
      <c r="F10" s="4">
        <v>0</v>
      </c>
      <c r="G10" s="4">
        <v>0</v>
      </c>
      <c r="H10" s="4">
        <v>0</v>
      </c>
      <c r="I10" s="4">
        <v>36019</v>
      </c>
      <c r="J10" s="4">
        <v>12</v>
      </c>
      <c r="K10" s="4" t="s">
        <v>4</v>
      </c>
      <c r="L10" s="5" t="s">
        <v>13</v>
      </c>
      <c r="M10" s="18"/>
      <c r="N10" s="6" t="str">
        <f t="shared" si="7"/>
        <v/>
      </c>
      <c r="O10" s="18"/>
      <c r="P10" s="6" t="str">
        <f t="shared" si="8"/>
        <v/>
      </c>
      <c r="Q10" s="19"/>
      <c r="R10" s="7" t="str">
        <f t="shared" si="9"/>
        <v/>
      </c>
      <c r="S10" s="8">
        <v>34.9</v>
      </c>
      <c r="T10" s="7">
        <f t="shared" si="10"/>
        <v>418.8</v>
      </c>
      <c r="U10" s="8">
        <v>2.931</v>
      </c>
      <c r="V10" s="7">
        <f t="shared" si="11"/>
        <v>1055.72</v>
      </c>
      <c r="W10" s="7">
        <f t="shared" si="12"/>
        <v>1474.52</v>
      </c>
      <c r="X10" s="7" t="str">
        <f t="shared" si="13"/>
        <v/>
      </c>
      <c r="Y10" s="7" t="str">
        <f t="shared" si="14"/>
        <v/>
      </c>
      <c r="Z10" s="15">
        <f>23%</f>
        <v>0.23</v>
      </c>
      <c r="AA10" s="14" t="s">
        <v>43</v>
      </c>
      <c r="AB10" s="14" t="s">
        <v>47</v>
      </c>
    </row>
    <row r="11" spans="1:28" ht="22.2" customHeight="1" x14ac:dyDescent="0.3">
      <c r="A11" s="2" t="s">
        <v>14</v>
      </c>
      <c r="B11" s="2" t="s">
        <v>38</v>
      </c>
      <c r="C11" s="2">
        <v>33</v>
      </c>
      <c r="D11" s="3" t="s">
        <v>4</v>
      </c>
      <c r="E11" s="4">
        <v>1371143</v>
      </c>
      <c r="F11" s="4">
        <v>0</v>
      </c>
      <c r="G11" s="4">
        <v>21856</v>
      </c>
      <c r="H11" s="4">
        <v>0</v>
      </c>
      <c r="I11" s="4">
        <v>1392999</v>
      </c>
      <c r="J11" s="4">
        <v>12</v>
      </c>
      <c r="K11" s="4" t="s">
        <v>4</v>
      </c>
      <c r="L11" s="5" t="s">
        <v>13</v>
      </c>
      <c r="M11" s="18"/>
      <c r="N11" s="6" t="str">
        <f t="shared" si="7"/>
        <v/>
      </c>
      <c r="O11" s="18"/>
      <c r="P11" s="6" t="str">
        <f t="shared" si="8"/>
        <v/>
      </c>
      <c r="Q11" s="19"/>
      <c r="R11" s="7" t="str">
        <f t="shared" si="9"/>
        <v/>
      </c>
      <c r="S11" s="8">
        <v>34.9</v>
      </c>
      <c r="T11" s="7">
        <f t="shared" si="10"/>
        <v>13820.4</v>
      </c>
      <c r="U11" s="8">
        <v>2.931</v>
      </c>
      <c r="V11" s="7">
        <f t="shared" si="11"/>
        <v>40828.800000000003</v>
      </c>
      <c r="W11" s="7">
        <f t="shared" si="12"/>
        <v>54649.200000000004</v>
      </c>
      <c r="X11" s="7" t="str">
        <f t="shared" si="13"/>
        <v/>
      </c>
      <c r="Y11" s="7" t="str">
        <f t="shared" si="14"/>
        <v/>
      </c>
      <c r="Z11" s="15">
        <f>23%</f>
        <v>0.23</v>
      </c>
      <c r="AA11" s="14" t="s">
        <v>43</v>
      </c>
      <c r="AB11" s="14" t="s">
        <v>48</v>
      </c>
    </row>
    <row r="12" spans="1:28" ht="22.2" customHeight="1" x14ac:dyDescent="0.3">
      <c r="A12" s="2" t="s">
        <v>15</v>
      </c>
      <c r="B12" s="2" t="s">
        <v>39</v>
      </c>
      <c r="C12" s="2">
        <v>6</v>
      </c>
      <c r="D12" s="3" t="s">
        <v>4</v>
      </c>
      <c r="E12" s="4">
        <v>542649</v>
      </c>
      <c r="F12" s="4">
        <v>0</v>
      </c>
      <c r="G12" s="4">
        <v>124474</v>
      </c>
      <c r="H12" s="4">
        <v>0</v>
      </c>
      <c r="I12" s="4">
        <v>667123</v>
      </c>
      <c r="J12" s="4">
        <v>12</v>
      </c>
      <c r="K12" s="4" t="s">
        <v>4</v>
      </c>
      <c r="L12" s="5" t="s">
        <v>13</v>
      </c>
      <c r="M12" s="18"/>
      <c r="N12" s="6" t="str">
        <f t="shared" si="7"/>
        <v/>
      </c>
      <c r="O12" s="18"/>
      <c r="P12" s="6" t="str">
        <f t="shared" si="8"/>
        <v/>
      </c>
      <c r="Q12" s="19"/>
      <c r="R12" s="7" t="str">
        <f t="shared" si="9"/>
        <v/>
      </c>
      <c r="S12" s="8">
        <v>194.95</v>
      </c>
      <c r="T12" s="7">
        <f t="shared" si="10"/>
        <v>14036.4</v>
      </c>
      <c r="U12" s="8">
        <v>2.8730000000000002</v>
      </c>
      <c r="V12" s="7">
        <f t="shared" si="11"/>
        <v>19166.439999999999</v>
      </c>
      <c r="W12" s="7">
        <f t="shared" si="12"/>
        <v>33202.839999999997</v>
      </c>
      <c r="X12" s="7" t="str">
        <f t="shared" si="13"/>
        <v/>
      </c>
      <c r="Y12" s="7" t="str">
        <f t="shared" si="14"/>
        <v/>
      </c>
      <c r="Z12" s="15">
        <f>23%</f>
        <v>0.23</v>
      </c>
      <c r="AA12" s="14" t="s">
        <v>43</v>
      </c>
      <c r="AB12" s="14" t="s">
        <v>47</v>
      </c>
    </row>
    <row r="13" spans="1:28" ht="22.2" customHeight="1" x14ac:dyDescent="0.3">
      <c r="A13" s="2" t="s">
        <v>16</v>
      </c>
      <c r="B13" s="2" t="s">
        <v>40</v>
      </c>
      <c r="C13" s="2">
        <v>21</v>
      </c>
      <c r="D13" s="3">
        <v>4745</v>
      </c>
      <c r="E13" s="4">
        <v>4880265</v>
      </c>
      <c r="F13" s="4">
        <v>0</v>
      </c>
      <c r="G13" s="4">
        <v>799746</v>
      </c>
      <c r="H13" s="4">
        <v>0</v>
      </c>
      <c r="I13" s="4">
        <v>5680011</v>
      </c>
      <c r="J13" s="4">
        <v>12</v>
      </c>
      <c r="K13" s="4">
        <v>365</v>
      </c>
      <c r="L13" s="5" t="s">
        <v>13</v>
      </c>
      <c r="M13" s="18"/>
      <c r="N13" s="6" t="str">
        <f t="shared" si="7"/>
        <v/>
      </c>
      <c r="O13" s="18"/>
      <c r="P13" s="6" t="str">
        <f t="shared" si="8"/>
        <v/>
      </c>
      <c r="Q13" s="19"/>
      <c r="R13" s="7" t="str">
        <f t="shared" si="9"/>
        <v/>
      </c>
      <c r="S13" s="8">
        <v>0.505</v>
      </c>
      <c r="T13" s="7">
        <f t="shared" si="10"/>
        <v>209909.31</v>
      </c>
      <c r="U13" s="8">
        <v>2.605</v>
      </c>
      <c r="V13" s="7">
        <f t="shared" si="11"/>
        <v>147964.29</v>
      </c>
      <c r="W13" s="7">
        <f t="shared" si="12"/>
        <v>357873.6</v>
      </c>
      <c r="X13" s="7" t="str">
        <f t="shared" si="13"/>
        <v/>
      </c>
      <c r="Y13" s="7" t="str">
        <f t="shared" si="14"/>
        <v/>
      </c>
      <c r="Z13" s="15">
        <f>23%</f>
        <v>0.23</v>
      </c>
      <c r="AA13" s="14" t="s">
        <v>43</v>
      </c>
      <c r="AB13" s="14" t="s">
        <v>47</v>
      </c>
    </row>
    <row r="14" spans="1:28" ht="22.2" customHeight="1" x14ac:dyDescent="0.3">
      <c r="A14" s="2" t="s">
        <v>59</v>
      </c>
      <c r="B14" s="2" t="s">
        <v>40</v>
      </c>
      <c r="C14" s="2">
        <v>1</v>
      </c>
      <c r="D14" s="3">
        <v>165</v>
      </c>
      <c r="E14" s="4">
        <v>214506</v>
      </c>
      <c r="F14" s="4">
        <v>0</v>
      </c>
      <c r="G14" s="4">
        <v>0</v>
      </c>
      <c r="H14" s="4">
        <v>0</v>
      </c>
      <c r="I14" s="4">
        <v>214506</v>
      </c>
      <c r="J14" s="4">
        <v>12</v>
      </c>
      <c r="K14" s="4">
        <v>365</v>
      </c>
      <c r="L14" s="5" t="s">
        <v>57</v>
      </c>
      <c r="M14" s="18"/>
      <c r="N14" s="6" t="str">
        <f t="shared" si="7"/>
        <v/>
      </c>
      <c r="O14" s="18"/>
      <c r="P14" s="6" t="str">
        <f t="shared" si="8"/>
        <v/>
      </c>
      <c r="Q14" s="19"/>
      <c r="R14" s="7" t="str">
        <f t="shared" si="9"/>
        <v/>
      </c>
      <c r="S14" s="8">
        <v>0.61399999999999999</v>
      </c>
      <c r="T14" s="7">
        <f t="shared" si="10"/>
        <v>8874.76</v>
      </c>
      <c r="U14" s="8">
        <v>1.754</v>
      </c>
      <c r="V14" s="7">
        <f t="shared" si="11"/>
        <v>3762.44</v>
      </c>
      <c r="W14" s="7">
        <f t="shared" si="12"/>
        <v>12637.2</v>
      </c>
      <c r="X14" s="7" t="str">
        <f t="shared" si="13"/>
        <v/>
      </c>
      <c r="Y14" s="7" t="str">
        <f t="shared" si="14"/>
        <v/>
      </c>
      <c r="Z14" s="15">
        <f>23%</f>
        <v>0.23</v>
      </c>
      <c r="AA14" s="14" t="s">
        <v>43</v>
      </c>
      <c r="AB14" s="14" t="s">
        <v>47</v>
      </c>
    </row>
    <row r="15" spans="1:28" ht="22.2" customHeight="1" x14ac:dyDescent="0.3">
      <c r="A15" s="2" t="s">
        <v>60</v>
      </c>
      <c r="B15" s="2" t="s">
        <v>40</v>
      </c>
      <c r="C15" s="2">
        <v>1</v>
      </c>
      <c r="D15" s="3">
        <v>329</v>
      </c>
      <c r="E15" s="4">
        <v>571141</v>
      </c>
      <c r="F15" s="4">
        <v>0</v>
      </c>
      <c r="G15" s="4">
        <v>0</v>
      </c>
      <c r="H15" s="4">
        <v>0</v>
      </c>
      <c r="I15" s="4">
        <v>571141</v>
      </c>
      <c r="J15" s="4">
        <v>12</v>
      </c>
      <c r="K15" s="4">
        <v>365</v>
      </c>
      <c r="L15" s="5" t="s">
        <v>53</v>
      </c>
      <c r="M15" s="18"/>
      <c r="N15" s="6" t="str">
        <f t="shared" si="7"/>
        <v/>
      </c>
      <c r="O15" s="18"/>
      <c r="P15" s="6" t="str">
        <f t="shared" si="8"/>
        <v/>
      </c>
      <c r="Q15" s="19"/>
      <c r="R15" s="7" t="str">
        <f t="shared" si="9"/>
        <v/>
      </c>
      <c r="S15" s="8">
        <v>0.496</v>
      </c>
      <c r="T15" s="7">
        <f t="shared" si="10"/>
        <v>14294.92</v>
      </c>
      <c r="U15" s="8">
        <v>1.833</v>
      </c>
      <c r="V15" s="7">
        <f t="shared" si="11"/>
        <v>10469.01</v>
      </c>
      <c r="W15" s="7">
        <f t="shared" si="12"/>
        <v>24763.93</v>
      </c>
      <c r="X15" s="7" t="str">
        <f t="shared" si="13"/>
        <v/>
      </c>
      <c r="Y15" s="7" t="str">
        <f t="shared" si="14"/>
        <v/>
      </c>
      <c r="Z15" s="15">
        <f>23%</f>
        <v>0.23</v>
      </c>
      <c r="AA15" s="14" t="s">
        <v>43</v>
      </c>
      <c r="AB15" s="14" t="s">
        <v>47</v>
      </c>
    </row>
    <row r="16" spans="1:28" ht="22.2" customHeight="1" x14ac:dyDescent="0.3">
      <c r="A16" s="2" t="s">
        <v>61</v>
      </c>
      <c r="B16" s="2" t="s">
        <v>62</v>
      </c>
      <c r="C16" s="2">
        <v>1</v>
      </c>
      <c r="D16" s="3">
        <v>713</v>
      </c>
      <c r="E16" s="4">
        <v>986529</v>
      </c>
      <c r="F16" s="4">
        <v>0</v>
      </c>
      <c r="G16" s="4">
        <v>0</v>
      </c>
      <c r="H16" s="4">
        <v>0</v>
      </c>
      <c r="I16" s="4">
        <v>986529</v>
      </c>
      <c r="J16" s="4">
        <v>12</v>
      </c>
      <c r="K16" s="4">
        <v>365</v>
      </c>
      <c r="L16" s="5" t="s">
        <v>13</v>
      </c>
      <c r="M16" s="18"/>
      <c r="N16" s="6" t="str">
        <f t="shared" si="7"/>
        <v/>
      </c>
      <c r="O16" s="18"/>
      <c r="P16" s="6" t="str">
        <f t="shared" si="8"/>
        <v/>
      </c>
      <c r="Q16" s="19"/>
      <c r="R16" s="7" t="str">
        <f t="shared" si="9"/>
        <v/>
      </c>
      <c r="S16" s="8">
        <v>0.46400000000000002</v>
      </c>
      <c r="T16" s="7">
        <f t="shared" si="10"/>
        <v>28980.880000000001</v>
      </c>
      <c r="U16" s="8">
        <v>2.4540000000000002</v>
      </c>
      <c r="V16" s="7">
        <f t="shared" si="11"/>
        <v>24209.42</v>
      </c>
      <c r="W16" s="7">
        <f t="shared" si="12"/>
        <v>53190.3</v>
      </c>
      <c r="X16" s="7" t="str">
        <f t="shared" si="13"/>
        <v/>
      </c>
      <c r="Y16" s="7" t="str">
        <f t="shared" si="14"/>
        <v/>
      </c>
      <c r="Z16" s="15">
        <f>23%</f>
        <v>0.23</v>
      </c>
      <c r="AA16" s="14" t="s">
        <v>43</v>
      </c>
      <c r="AB16" s="14" t="s">
        <v>48</v>
      </c>
    </row>
    <row r="17" spans="1:28" ht="22.2" customHeight="1" x14ac:dyDescent="0.3">
      <c r="A17" s="2" t="s">
        <v>63</v>
      </c>
      <c r="B17" s="2" t="s">
        <v>62</v>
      </c>
      <c r="C17" s="2">
        <v>1</v>
      </c>
      <c r="D17" s="3">
        <v>1097</v>
      </c>
      <c r="E17" s="4">
        <v>3219119</v>
      </c>
      <c r="F17" s="4">
        <v>0</v>
      </c>
      <c r="G17" s="4">
        <v>0</v>
      </c>
      <c r="H17" s="4">
        <v>0</v>
      </c>
      <c r="I17" s="4">
        <v>3219119</v>
      </c>
      <c r="J17" s="4">
        <v>12</v>
      </c>
      <c r="K17" s="4">
        <v>365</v>
      </c>
      <c r="L17" s="5" t="s">
        <v>53</v>
      </c>
      <c r="M17" s="18"/>
      <c r="N17" s="6" t="str">
        <f t="shared" ref="N17" si="15">IF(ROUND(M17,3)=0,"",ROUND(M17,3)+0.39)</f>
        <v/>
      </c>
      <c r="O17" s="18"/>
      <c r="P17" s="6" t="str">
        <f t="shared" ref="P17" si="16">IF(ROUND(O17,3)=0,"",ROUND(O17,3)+0.39)</f>
        <v/>
      </c>
      <c r="Q17" s="19"/>
      <c r="R17" s="7" t="str">
        <f t="shared" ref="R17" si="17">IFERROR(IF(ROUND(M17,3)&gt;0,ROUND(E17*ROUND(M17,3)/100+F17*N17/100
+G17*ROUND(O17,3)/100+H17*P17/100
+ROUND(Q17,2)*J17*C17,2),""),"")</f>
        <v/>
      </c>
      <c r="S17" s="8">
        <v>0.52800000000000002</v>
      </c>
      <c r="T17" s="7">
        <f t="shared" ref="T17" si="18">ROUND(IF(D17="nd.",C17*S17*J17,(K17*24*D17*S17)/100),2)</f>
        <v>50739.32</v>
      </c>
      <c r="U17" s="8">
        <v>1.83</v>
      </c>
      <c r="V17" s="7">
        <f t="shared" ref="V17" si="19">ROUND(U17*I17/100,2)</f>
        <v>58909.88</v>
      </c>
      <c r="W17" s="7">
        <f t="shared" ref="W17" si="20">T17+V17</f>
        <v>109649.2</v>
      </c>
      <c r="X17" s="7" t="str">
        <f t="shared" ref="X17" si="21">IF(M17&gt;0,R17+W17,"")</f>
        <v/>
      </c>
      <c r="Y17" s="7" t="str">
        <f t="shared" ref="Y17" si="22">IF(M17&gt;0,ROUND(X17*(1+Z17),2),"")</f>
        <v/>
      </c>
      <c r="Z17" s="15">
        <f>23%</f>
        <v>0.23</v>
      </c>
      <c r="AA17" s="14" t="s">
        <v>43</v>
      </c>
      <c r="AB17" s="14" t="s">
        <v>48</v>
      </c>
    </row>
    <row r="18" spans="1:28" ht="22.2" customHeight="1" x14ac:dyDescent="0.3">
      <c r="A18" s="2" t="s">
        <v>14</v>
      </c>
      <c r="B18" s="2" t="s">
        <v>38</v>
      </c>
      <c r="C18" s="2">
        <v>3</v>
      </c>
      <c r="D18" s="3" t="s">
        <v>4</v>
      </c>
      <c r="E18" s="4">
        <v>0</v>
      </c>
      <c r="F18" s="4">
        <v>0</v>
      </c>
      <c r="G18" s="4">
        <v>79510</v>
      </c>
      <c r="H18" s="4">
        <v>0</v>
      </c>
      <c r="I18" s="4">
        <v>79510</v>
      </c>
      <c r="J18" s="4">
        <v>12</v>
      </c>
      <c r="K18" s="4" t="s">
        <v>4</v>
      </c>
      <c r="L18" s="5" t="s">
        <v>13</v>
      </c>
      <c r="M18" s="18"/>
      <c r="N18" s="6" t="str">
        <f t="shared" si="6"/>
        <v/>
      </c>
      <c r="O18" s="18"/>
      <c r="P18" s="6" t="str">
        <f t="shared" si="6"/>
        <v/>
      </c>
      <c r="Q18" s="19"/>
      <c r="R18" s="7" t="str">
        <f t="shared" si="5"/>
        <v/>
      </c>
      <c r="S18" s="8">
        <v>34.9</v>
      </c>
      <c r="T18" s="7">
        <f t="shared" si="0"/>
        <v>1256.4000000000001</v>
      </c>
      <c r="U18" s="8">
        <v>2.931</v>
      </c>
      <c r="V18" s="7">
        <f t="shared" si="1"/>
        <v>2330.44</v>
      </c>
      <c r="W18" s="7">
        <f t="shared" si="2"/>
        <v>3586.84</v>
      </c>
      <c r="X18" s="7" t="str">
        <f t="shared" si="3"/>
        <v/>
      </c>
      <c r="Y18" s="7" t="str">
        <f t="shared" si="4"/>
        <v/>
      </c>
      <c r="Z18" s="15">
        <f>23%</f>
        <v>0.23</v>
      </c>
      <c r="AA18" s="14" t="s">
        <v>43</v>
      </c>
      <c r="AB18" s="14" t="s">
        <v>46</v>
      </c>
    </row>
    <row r="19" spans="1:28" ht="22.2" customHeight="1" x14ac:dyDescent="0.3">
      <c r="W19" s="11" t="s">
        <v>5</v>
      </c>
      <c r="X19" s="7" t="str">
        <f>IF(SUM(X5:X18)&gt;0,SUM(X5:X18),"")</f>
        <v/>
      </c>
      <c r="Y19" s="7" t="str">
        <f>IF(SUM(Y5:Y18)&gt;0,SUM(Y5:Y18),"")</f>
        <v/>
      </c>
    </row>
    <row r="20" spans="1:28" ht="41.4" customHeight="1" x14ac:dyDescent="0.3">
      <c r="A20" s="20" t="s">
        <v>64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28" ht="22.8" customHeight="1" x14ac:dyDescent="0.3">
      <c r="A21" s="20" t="s">
        <v>42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5" spans="1:28" ht="15.6" customHeight="1" x14ac:dyDescent="0.3"/>
    <row r="26" spans="1:28" ht="15.6" customHeight="1" x14ac:dyDescent="0.3"/>
    <row r="46" spans="15:15" x14ac:dyDescent="0.3">
      <c r="O46" s="10"/>
    </row>
  </sheetData>
  <sheetProtection algorithmName="SHA-512" hashValue="sEmPdn7gFtH1T+kxZ430mIhBRRQkCUT+kv66genjcA8thOMlZsj13DMnvtMFgxpq1wQ4WJboLgs8K8rPwH6n1Q==" saltValue="FxCvjY+9hLA+aom7SUeBwA==" spinCount="100000" sheet="1" objects="1" scenarios="1"/>
  <protectedRanges>
    <protectedRange sqref="M5:M18" name="Rozstęp3"/>
    <protectedRange sqref="O5:O18" name="Rozstęp1"/>
    <protectedRange sqref="Q5:Q18" name="Rozstęp2"/>
  </protectedRanges>
  <autoFilter ref="A4:AA21" xr:uid="{00000000-0001-0000-0000-000000000000}"/>
  <mergeCells count="17">
    <mergeCell ref="A1:AB1"/>
    <mergeCell ref="S2:W2"/>
    <mergeCell ref="A2:A3"/>
    <mergeCell ref="B2:B3"/>
    <mergeCell ref="C2:C3"/>
    <mergeCell ref="I2:I3"/>
    <mergeCell ref="J2:J3"/>
    <mergeCell ref="K2:K3"/>
    <mergeCell ref="L2:L3"/>
    <mergeCell ref="A20:N20"/>
    <mergeCell ref="A21:N21"/>
    <mergeCell ref="D2:D3"/>
    <mergeCell ref="E2:E3"/>
    <mergeCell ref="F2:F3"/>
    <mergeCell ref="G2:G3"/>
    <mergeCell ref="H2:H3"/>
    <mergeCell ref="M2:R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2022-10-20T08:47:34Z</cp:lastPrinted>
  <dcterms:created xsi:type="dcterms:W3CDTF">2015-06-05T18:19:34Z</dcterms:created>
  <dcterms:modified xsi:type="dcterms:W3CDTF">2022-10-20T10:20:08Z</dcterms:modified>
</cp:coreProperties>
</file>