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E 2020.03.13\GZ Skarżysko\gaz ‡ przetarg\"/>
    </mc:Choice>
  </mc:AlternateContent>
  <xr:revisionPtr revIDLastSave="0" documentId="13_ncr:1_{F950F908-7166-4C40-8DEE-422364AEC1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M7" i="1" s="1"/>
  <c r="O7" i="1"/>
  <c r="Q7" i="1"/>
  <c r="R7" i="1" s="1"/>
  <c r="K8" i="1"/>
  <c r="M8" i="1"/>
  <c r="O8" i="1"/>
  <c r="Q8" i="1"/>
  <c r="K9" i="1"/>
  <c r="M9" i="1" s="1"/>
  <c r="O9" i="1"/>
  <c r="R9" i="1" s="1"/>
  <c r="Q9" i="1"/>
  <c r="K10" i="1"/>
  <c r="M10" i="1"/>
  <c r="O10" i="1"/>
  <c r="Q10" i="1"/>
  <c r="K11" i="1"/>
  <c r="M11" i="1" s="1"/>
  <c r="O11" i="1"/>
  <c r="Q11" i="1"/>
  <c r="K6" i="1"/>
  <c r="M6" i="1" s="1"/>
  <c r="R11" i="1" l="1"/>
  <c r="S9" i="1"/>
  <c r="T9" i="1" s="1"/>
  <c r="R8" i="1"/>
  <c r="S8" i="1" s="1"/>
  <c r="T8" i="1" s="1"/>
  <c r="S11" i="1"/>
  <c r="T11" i="1" s="1"/>
  <c r="S7" i="1"/>
  <c r="T7" i="1" s="1"/>
  <c r="R10" i="1"/>
  <c r="S10" i="1" s="1"/>
  <c r="T10" i="1" s="1"/>
  <c r="K5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Q6" i="1" l="1"/>
  <c r="Q5" i="1" l="1"/>
  <c r="O6" i="1"/>
  <c r="R6" i="1" s="1"/>
  <c r="S6" i="1" s="1"/>
  <c r="T6" i="1" s="1"/>
  <c r="M5" i="1"/>
  <c r="O5" i="1" l="1"/>
  <c r="R5" i="1" s="1"/>
  <c r="S5" i="1" s="1"/>
  <c r="T5" i="1" l="1"/>
  <c r="T12" i="1" s="1"/>
  <c r="S12" i="1"/>
</calcChain>
</file>

<file path=xl/sharedStrings.xml><?xml version="1.0" encoding="utf-8"?>
<sst xmlns="http://schemas.openxmlformats.org/spreadsheetml/2006/main" count="52" uniqueCount="38">
  <si>
    <t>Grupa taryfowa</t>
  </si>
  <si>
    <t>Liczba punktów poboru</t>
  </si>
  <si>
    <t>Liczba miesięcy</t>
  </si>
  <si>
    <t>Liczba dni</t>
  </si>
  <si>
    <t>Oddział dystrybucji</t>
  </si>
  <si>
    <r>
      <rPr>
        <b/>
        <sz val="9"/>
        <rFont val="Calibri"/>
        <family val="2"/>
        <charset val="238"/>
        <scheme val="minor"/>
      </rPr>
      <t>Łącznie</t>
    </r>
    <r>
      <rPr>
        <sz val="9"/>
        <rFont val="Calibri"/>
        <family val="2"/>
        <charset val="238"/>
        <scheme val="minor"/>
      </rPr>
      <t xml:space="preserve"> (zł)
(kol. 4 × kol. 10) /100 + (kol. 5 × kol. 11) /100 + (kol. 2 × kol. 7 × kol. 12)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</si>
  <si>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r>
      <rPr>
        <b/>
        <sz val="9"/>
        <rFont val="Calibri"/>
        <family val="2"/>
        <charset val="238"/>
        <scheme val="minor"/>
      </rPr>
      <t>Łącznie opłata stała</t>
    </r>
    <r>
      <rPr>
        <sz val="9"/>
        <rFont val="Calibri"/>
        <family val="2"/>
        <charset val="238"/>
        <scheme val="minor"/>
      </rPr>
      <t xml:space="preserve"> (zł)
a) (kol. 2 × kol. 7 × kol. 14) 
dla grup taryfowych z ozn.
W-1, W-2, W-3, W-4
b) (kol. 3 × kol. 8 × 24 h × kol. 14) /100 
dla grup taryfowych z ozn.
W-5, W-6, W-7
</t>
    </r>
    <r>
      <rPr>
        <i/>
        <sz val="9"/>
        <rFont val="Calibri"/>
        <family val="2"/>
        <charset val="238"/>
        <scheme val="minor"/>
      </rPr>
      <t xml:space="preserve">
(zaokrąglenie do 2 
miejsc po przecinku)</t>
    </r>
  </si>
  <si>
    <r>
      <rPr>
        <b/>
        <sz val="9"/>
        <rFont val="Calibri"/>
        <family val="2"/>
        <charset val="238"/>
        <scheme val="minor"/>
      </rPr>
      <t>Łącznie opłata zmienna</t>
    </r>
    <r>
      <rPr>
        <sz val="9"/>
        <rFont val="Calibri"/>
        <family val="2"/>
        <charset val="238"/>
        <scheme val="minor"/>
      </rPr>
      <t xml:space="preserve"> (zł)
(kol. 6 × kol. 16) /100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</si>
  <si>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r>
      <rPr>
        <b/>
        <sz val="9"/>
        <rFont val="Calibri"/>
        <family val="2"/>
        <charset val="238"/>
        <scheme val="minor"/>
      </rPr>
      <t>Łącznie usługi dystrybucyjne</t>
    </r>
    <r>
      <rPr>
        <sz val="9"/>
        <rFont val="Calibri"/>
        <family val="2"/>
        <charset val="238"/>
        <scheme val="minor"/>
      </rPr>
      <t xml:space="preserve"> (zł)
(kol. 15 + kol. 17)</t>
    </r>
  </si>
  <si>
    <t>(suma kol. 13 
+ kol. 18)</t>
  </si>
  <si>
    <t>nd.</t>
  </si>
  <si>
    <t>SUMA:</t>
  </si>
  <si>
    <r>
      <t xml:space="preserve">*Stawkę podatku akcyzowego 1,28 zł/GJ, która ma zastosowanie dla części zużycia paliwa gazowego przeznaczonej na cele opałowe (z wyłączeniem celów objętych zwolnieniem), przeliczono na gr/kWh zgodnie z obowiązującymi zasadami [Art. 89 ust. 1 pkt 13 oraz Art. 88 ust. 7 pkt 4 lit. a </t>
    </r>
    <r>
      <rPr>
        <i/>
        <sz val="12"/>
        <rFont val="Calibri"/>
        <family val="2"/>
        <charset val="238"/>
        <scheme val="minor"/>
      </rPr>
      <t>Ustawy o podatku akcyzowym</t>
    </r>
    <r>
      <rPr>
        <sz val="12"/>
        <rFont val="Calibri"/>
        <family val="2"/>
        <charset val="238"/>
        <scheme val="minor"/>
      </rPr>
      <t>] oraz przyjmując wartość ciepła spalania 39,5 MJ/m3.</t>
    </r>
  </si>
  <si>
    <t>**Rozliczenia kosztów dystrybucji będą prowadzone zgodnie z taryfą OSD.</t>
  </si>
  <si>
    <r>
      <rPr>
        <b/>
        <sz val="9"/>
        <rFont val="Calibri"/>
        <family val="2"/>
        <charset val="238"/>
        <scheme val="minor"/>
      </rPr>
      <t xml:space="preserve">Cena jednostkowa za gaz bez akcyzy
</t>
    </r>
    <r>
      <rPr>
        <sz val="9"/>
        <rFont val="Calibri"/>
        <family val="2"/>
        <charset val="238"/>
        <scheme val="minor"/>
      </rPr>
      <t xml:space="preserve">[gr/kWh]
</t>
    </r>
    <r>
      <rPr>
        <i/>
        <sz val="9"/>
        <rFont val="Calibri"/>
        <family val="2"/>
        <charset val="238"/>
        <scheme val="minor"/>
      </rPr>
      <t>(z dokładnością
do 3 miejsc 
po przecinku)</t>
    </r>
  </si>
  <si>
    <r>
      <t xml:space="preserve">Cena jednostkowa za gaz z akcyzą 1,28 zł/GJ*
</t>
    </r>
    <r>
      <rPr>
        <sz val="9"/>
        <rFont val="Calibri"/>
        <family val="2"/>
        <charset val="238"/>
        <scheme val="minor"/>
      </rPr>
      <t>[gr/kWh]
(kol. 10 + 0,362)</t>
    </r>
  </si>
  <si>
    <r>
      <rPr>
        <b/>
        <sz val="9"/>
        <rFont val="Calibri"/>
        <family val="2"/>
        <charset val="238"/>
        <scheme val="minor"/>
      </rPr>
      <t>Abonament</t>
    </r>
    <r>
      <rPr>
        <sz val="9"/>
        <rFont val="Calibri"/>
        <family val="2"/>
        <charset val="238"/>
        <scheme val="minor"/>
      </rPr>
      <t xml:space="preserve">
[zł/PPG/mc]
</t>
    </r>
    <r>
      <rPr>
        <i/>
        <sz val="9"/>
        <rFont val="Calibri"/>
        <family val="2"/>
        <charset val="238"/>
        <scheme val="minor"/>
      </rPr>
      <t>(z dokładnością do 2 miejsc po przecinku)</t>
    </r>
  </si>
  <si>
    <r>
      <rPr>
        <b/>
        <sz val="9"/>
        <rFont val="Calibri"/>
        <family val="2"/>
        <charset val="238"/>
        <scheme val="minor"/>
      </rPr>
      <t xml:space="preserve">Stawka opłaty stałej </t>
    </r>
    <r>
      <rPr>
        <sz val="9"/>
        <rFont val="Calibri"/>
        <family val="2"/>
        <charset val="238"/>
        <scheme val="minor"/>
      </rPr>
      <t xml:space="preserve">
a) [zł/mc] 
dla grup taryfowych z ozn. 
W-1, W-2, W-3, W-4
b) [gr/(kWh/h) za h]
dla grup taryfowych z ozn. 
W-5, W-6, W-7</t>
    </r>
  </si>
  <si>
    <r>
      <t xml:space="preserve">Stawka opłaty zmiennej 
</t>
    </r>
    <r>
      <rPr>
        <sz val="9"/>
        <rFont val="Calibri"/>
        <family val="2"/>
        <charset val="238"/>
        <scheme val="minor"/>
      </rPr>
      <t>[gr/kWh]</t>
    </r>
  </si>
  <si>
    <r>
      <t xml:space="preserve">Moc umowna
</t>
    </r>
    <r>
      <rPr>
        <sz val="9"/>
        <rFont val="Calibri"/>
        <family val="2"/>
        <charset val="238"/>
        <scheme val="minor"/>
      </rPr>
      <t>[kWh/h]</t>
    </r>
  </si>
  <si>
    <r>
      <rPr>
        <b/>
        <sz val="9"/>
        <rFont val="Calibri"/>
        <family val="2"/>
        <charset val="238"/>
        <scheme val="minor"/>
      </rPr>
      <t>Szacunkowe zapotrzebowanie na paliwo gazowe zwolnione 
z akcyzy</t>
    </r>
    <r>
      <rPr>
        <sz val="9"/>
        <rFont val="Calibri"/>
        <family val="2"/>
        <charset val="238"/>
        <scheme val="minor"/>
      </rPr>
      <t xml:space="preserve"> 
[kWh]</t>
    </r>
  </si>
  <si>
    <r>
      <rPr>
        <b/>
        <sz val="9"/>
        <rFont val="Calibri"/>
        <family val="2"/>
        <charset val="238"/>
        <scheme val="minor"/>
      </rPr>
      <t>Szacunkowe zapotrzebowanie na paliwo gazowe opodatkowane akcyzą 1,28 zł/GJ</t>
    </r>
    <r>
      <rPr>
        <sz val="9"/>
        <rFont val="Calibri"/>
        <family val="2"/>
        <charset val="238"/>
        <scheme val="minor"/>
      </rPr>
      <t xml:space="preserve">
[kWh]</t>
    </r>
  </si>
  <si>
    <r>
      <rPr>
        <b/>
        <sz val="9"/>
        <rFont val="Calibri"/>
        <family val="2"/>
        <charset val="238"/>
        <scheme val="minor"/>
      </rPr>
      <t>Szacunkowe zapotrzebowanie na paliwo gazowe łącznie</t>
    </r>
    <r>
      <rPr>
        <sz val="9"/>
        <rFont val="Calibri"/>
        <family val="2"/>
        <charset val="238"/>
        <scheme val="minor"/>
      </rPr>
      <t xml:space="preserve"> 
[kWh]</t>
    </r>
  </si>
  <si>
    <t>Cena za paliwo gazowe [zł netto]</t>
  </si>
  <si>
    <t>Cena za usługi dystrybucyjne [zł netto]**</t>
  </si>
  <si>
    <t>CENA OFERTY 
[zł netto]</t>
  </si>
  <si>
    <t>CENA OFERTY 
[zł brutto]</t>
  </si>
  <si>
    <t>Załącznik nr 3 do SWZ - Formularz cenowy</t>
  </si>
  <si>
    <r>
      <t xml:space="preserve">(kol. 19) + podatek VAT 23%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</si>
  <si>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t>PSG Sp. z o.o. - Warszawa</t>
  </si>
  <si>
    <t>W-5.1_WA</t>
  </si>
  <si>
    <t>W-1.1_TA</t>
  </si>
  <si>
    <t>PSG Sp. z o.o. - Tarnów</t>
  </si>
  <si>
    <t>W-2.1_TA</t>
  </si>
  <si>
    <t>W-2.1_WA</t>
  </si>
  <si>
    <t>W-3.6_TA</t>
  </si>
  <si>
    <t>W-4_TA</t>
  </si>
  <si>
    <t>W-5.1_TA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</si>
</sst>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9"/>
  <sheetViews>
    <sheetView tabSelected="1" zoomScale="85" zoomScaleNormal="85" workbookViewId="0">
      <selection activeCell="M13" sqref="M13"/>
    </sheetView>
  </sheetViews>
  <sheetFormatPr defaultRowHeight="14.4" x14ac:dyDescent="0.3"/>
  <cols>
    <col min="1" max="1" width="10.5546875" style="11" customWidth="1"/>
    <col min="2" max="2" width="7.44140625" style="11" customWidth="1"/>
    <col min="3" max="3" width="7.109375" style="11" customWidth="1"/>
    <col min="4" max="5" width="14.109375" style="11" customWidth="1"/>
    <col min="6" max="6" width="13.33203125" style="11" customWidth="1"/>
    <col min="7" max="7" width="7.109375" style="11" customWidth="1"/>
    <col min="8" max="8" width="6.44140625" style="11" customWidth="1"/>
    <col min="9" max="9" width="20.21875" style="11" customWidth="1"/>
    <col min="10" max="12" width="12.33203125" style="11" customWidth="1"/>
    <col min="13" max="13" width="15.6640625" style="11" customWidth="1"/>
    <col min="14" max="14" width="20" style="11" customWidth="1"/>
    <col min="15" max="15" width="22.109375" style="11" customWidth="1"/>
    <col min="16" max="16" width="12.109375" style="11" customWidth="1"/>
    <col min="17" max="17" width="15.33203125" style="11" customWidth="1"/>
    <col min="18" max="18" width="13.33203125" style="11" customWidth="1"/>
    <col min="19" max="19" width="12.44140625" style="11" customWidth="1"/>
    <col min="20" max="20" width="13.109375" style="11" customWidth="1"/>
    <col min="24" max="24" width="9.88671875" bestFit="1" customWidth="1"/>
  </cols>
  <sheetData>
    <row r="1" spans="1:20" ht="15.75" customHeight="1" x14ac:dyDescent="0.3">
      <c r="A1" s="20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4" customHeight="1" x14ac:dyDescent="0.3">
      <c r="A2" s="21" t="s">
        <v>0</v>
      </c>
      <c r="B2" s="21" t="s">
        <v>1</v>
      </c>
      <c r="C2" s="21" t="s">
        <v>19</v>
      </c>
      <c r="D2" s="22" t="s">
        <v>20</v>
      </c>
      <c r="E2" s="22" t="s">
        <v>21</v>
      </c>
      <c r="F2" s="22" t="s">
        <v>22</v>
      </c>
      <c r="G2" s="21" t="s">
        <v>2</v>
      </c>
      <c r="H2" s="21" t="s">
        <v>3</v>
      </c>
      <c r="I2" s="21" t="s">
        <v>4</v>
      </c>
      <c r="J2" s="16" t="s">
        <v>23</v>
      </c>
      <c r="K2" s="16"/>
      <c r="L2" s="16"/>
      <c r="M2" s="16"/>
      <c r="N2" s="16" t="s">
        <v>24</v>
      </c>
      <c r="O2" s="16"/>
      <c r="P2" s="16"/>
      <c r="Q2" s="16"/>
      <c r="R2" s="16"/>
      <c r="S2" s="1" t="s">
        <v>25</v>
      </c>
      <c r="T2" s="1" t="s">
        <v>26</v>
      </c>
    </row>
    <row r="3" spans="1:20" ht="153" customHeight="1" x14ac:dyDescent="0.3">
      <c r="A3" s="21"/>
      <c r="B3" s="21"/>
      <c r="C3" s="21"/>
      <c r="D3" s="22"/>
      <c r="E3" s="22"/>
      <c r="F3" s="22"/>
      <c r="G3" s="21"/>
      <c r="H3" s="21"/>
      <c r="I3" s="21"/>
      <c r="J3" s="15" t="s">
        <v>14</v>
      </c>
      <c r="K3" s="14" t="s">
        <v>15</v>
      </c>
      <c r="L3" s="15" t="s">
        <v>16</v>
      </c>
      <c r="M3" s="15" t="s">
        <v>5</v>
      </c>
      <c r="N3" s="15" t="s">
        <v>17</v>
      </c>
      <c r="O3" s="15" t="s">
        <v>6</v>
      </c>
      <c r="P3" s="14" t="s">
        <v>18</v>
      </c>
      <c r="Q3" s="15" t="s">
        <v>7</v>
      </c>
      <c r="R3" s="15" t="s">
        <v>8</v>
      </c>
      <c r="S3" s="15" t="s">
        <v>9</v>
      </c>
      <c r="T3" s="15" t="s">
        <v>28</v>
      </c>
    </row>
    <row r="4" spans="1:20" ht="12.75" customHeight="1" x14ac:dyDescent="0.3">
      <c r="A4" s="2" t="str">
        <f>"-1-"</f>
        <v>-1-</v>
      </c>
      <c r="B4" s="2" t="str">
        <f>"-2-"</f>
        <v>-2-</v>
      </c>
      <c r="C4" s="2" t="str">
        <f>"-3-"</f>
        <v>-3-</v>
      </c>
      <c r="D4" s="2" t="str">
        <f>"-4-"</f>
        <v>-4-</v>
      </c>
      <c r="E4" s="2" t="str">
        <f>"-5-"</f>
        <v>-5-</v>
      </c>
      <c r="F4" s="2" t="str">
        <f>"-6-"</f>
        <v>-6-</v>
      </c>
      <c r="G4" s="2" t="str">
        <f>"-7-"</f>
        <v>-7-</v>
      </c>
      <c r="H4" s="2" t="str">
        <f>"-8-"</f>
        <v>-8-</v>
      </c>
      <c r="I4" s="2" t="str">
        <f>"-9-"</f>
        <v>-9-</v>
      </c>
      <c r="J4" s="2" t="str">
        <f>"-10-"</f>
        <v>-10-</v>
      </c>
      <c r="K4" s="2" t="str">
        <f>"-11-"</f>
        <v>-11-</v>
      </c>
      <c r="L4" s="2" t="str">
        <f>"-12-"</f>
        <v>-12-</v>
      </c>
      <c r="M4" s="2" t="str">
        <f>"-13-"</f>
        <v>-13-</v>
      </c>
      <c r="N4" s="2" t="str">
        <f>"-14-"</f>
        <v>-14-</v>
      </c>
      <c r="O4" s="2" t="str">
        <f>"-15-"</f>
        <v>-15-</v>
      </c>
      <c r="P4" s="2" t="str">
        <f>"-16-"</f>
        <v>-16-</v>
      </c>
      <c r="Q4" s="2" t="str">
        <f>"-17-"</f>
        <v>-17-</v>
      </c>
      <c r="R4" s="2" t="str">
        <f>"-18-"</f>
        <v>-18-</v>
      </c>
      <c r="S4" s="2" t="str">
        <f>"-19-"</f>
        <v>-19-</v>
      </c>
      <c r="T4" s="2" t="str">
        <f>"-20-"</f>
        <v>-20-</v>
      </c>
    </row>
    <row r="5" spans="1:20" ht="28.2" customHeight="1" x14ac:dyDescent="0.3">
      <c r="A5" s="2" t="s">
        <v>31</v>
      </c>
      <c r="B5" s="2">
        <v>4</v>
      </c>
      <c r="C5" s="3" t="s">
        <v>10</v>
      </c>
      <c r="D5" s="4">
        <v>5360</v>
      </c>
      <c r="E5" s="4">
        <v>0</v>
      </c>
      <c r="F5" s="4">
        <v>5360</v>
      </c>
      <c r="G5" s="4">
        <v>12</v>
      </c>
      <c r="H5" s="4" t="s">
        <v>10</v>
      </c>
      <c r="I5" s="5" t="s">
        <v>32</v>
      </c>
      <c r="J5" s="6"/>
      <c r="K5" s="7" t="str">
        <f>IF(ROUND(J5,3)=0,"",ROUND(J5,3)+0.362)</f>
        <v/>
      </c>
      <c r="L5" s="8"/>
      <c r="M5" s="9" t="str">
        <f>IF(ROUND(J5,3)&gt;0,ROUND(D5*ROUND(J5,3)/100+E5*K5/100+ROUND(L5,2)*G5*B5,2),"")</f>
        <v/>
      </c>
      <c r="N5" s="10">
        <v>3.34</v>
      </c>
      <c r="O5" s="9">
        <f>ROUND(IF(C5="nd.",B5*N5*G5,(H5*24*C5*N5)/100),2)</f>
        <v>160.32</v>
      </c>
      <c r="P5" s="10">
        <v>5.0599999999999996</v>
      </c>
      <c r="Q5" s="9">
        <f t="shared" ref="Q5:Q6" si="0">ROUND(P5*F5/100,2)</f>
        <v>271.22000000000003</v>
      </c>
      <c r="R5" s="9">
        <f t="shared" ref="R5:R6" si="1">O5+Q5</f>
        <v>431.54</v>
      </c>
      <c r="S5" s="9" t="str">
        <f>IF(J5&gt;0,M5+R5,"")</f>
        <v/>
      </c>
      <c r="T5" s="9" t="str">
        <f>IF(J5&gt;0,ROUND(S5*1.23,2),"")</f>
        <v/>
      </c>
    </row>
    <row r="6" spans="1:20" ht="28.2" customHeight="1" x14ac:dyDescent="0.3">
      <c r="A6" s="2" t="s">
        <v>33</v>
      </c>
      <c r="B6" s="2">
        <v>2</v>
      </c>
      <c r="C6" s="3" t="s">
        <v>10</v>
      </c>
      <c r="D6" s="4">
        <v>23040</v>
      </c>
      <c r="E6" s="4">
        <v>0</v>
      </c>
      <c r="F6" s="4">
        <v>23040</v>
      </c>
      <c r="G6" s="4">
        <v>12</v>
      </c>
      <c r="H6" s="4" t="s">
        <v>10</v>
      </c>
      <c r="I6" s="5" t="s">
        <v>32</v>
      </c>
      <c r="J6" s="6"/>
      <c r="K6" s="7" t="str">
        <f t="shared" ref="K6:K11" si="2">IF(ROUND(J6,3)=0,"",ROUND(J6,3)+0.362)</f>
        <v/>
      </c>
      <c r="L6" s="8"/>
      <c r="M6" s="9" t="str">
        <f t="shared" ref="M6:M11" si="3">IF(ROUND(J6,3)&gt;0,ROUND(D6*ROUND(J6,3)/100+E6*K6/100+ROUND(L6,2)*G6*B6,2),"")</f>
        <v/>
      </c>
      <c r="N6" s="10">
        <v>8.51</v>
      </c>
      <c r="O6" s="9">
        <f t="shared" ref="O6" si="4">ROUND(IF(C6="nd.",B6*N6*G6,(H6*24*C6*N6)/100),2)</f>
        <v>204.24</v>
      </c>
      <c r="P6" s="10">
        <v>3.681</v>
      </c>
      <c r="Q6" s="9">
        <f t="shared" si="0"/>
        <v>848.1</v>
      </c>
      <c r="R6" s="9">
        <f t="shared" si="1"/>
        <v>1052.3400000000001</v>
      </c>
      <c r="S6" s="9" t="str">
        <f t="shared" ref="S6" si="5">IF(J6&gt;0,M6+R6,"")</f>
        <v/>
      </c>
      <c r="T6" s="9" t="str">
        <f t="shared" ref="T6" si="6">IF(J6&gt;0,ROUND(S6*1.23,2),"")</f>
        <v/>
      </c>
    </row>
    <row r="7" spans="1:20" ht="28.2" customHeight="1" x14ac:dyDescent="0.3">
      <c r="A7" s="2" t="s">
        <v>34</v>
      </c>
      <c r="B7" s="2">
        <v>1</v>
      </c>
      <c r="C7" s="3" t="s">
        <v>10</v>
      </c>
      <c r="D7" s="4">
        <v>10884</v>
      </c>
      <c r="E7" s="4">
        <v>0</v>
      </c>
      <c r="F7" s="4">
        <v>10884</v>
      </c>
      <c r="G7" s="4">
        <v>12</v>
      </c>
      <c r="H7" s="4" t="s">
        <v>10</v>
      </c>
      <c r="I7" s="5" t="s">
        <v>29</v>
      </c>
      <c r="J7" s="6"/>
      <c r="K7" s="7" t="str">
        <f t="shared" ref="K7:K11" si="7">IF(ROUND(J7,3)=0,"",ROUND(J7,3)+0.362)</f>
        <v/>
      </c>
      <c r="L7" s="8"/>
      <c r="M7" s="9" t="str">
        <f t="shared" ref="M7:M11" si="8">IF(ROUND(J7,3)&gt;0,ROUND(D7*ROUND(J7,3)/100+E7*K7/100+ROUND(L7,2)*G7*B7,2),"")</f>
        <v/>
      </c>
      <c r="N7" s="10">
        <v>10.76</v>
      </c>
      <c r="O7" s="9">
        <f t="shared" ref="O7:O11" si="9">ROUND(IF(C7="nd.",B7*N7*G7,(H7*24*C7*N7)/100),2)</f>
        <v>129.12</v>
      </c>
      <c r="P7" s="10">
        <v>2.6659999999999999</v>
      </c>
      <c r="Q7" s="9">
        <f t="shared" ref="Q7:Q11" si="10">ROUND(P7*F7/100,2)</f>
        <v>290.17</v>
      </c>
      <c r="R7" s="9">
        <f t="shared" ref="R7:R11" si="11">O7+Q7</f>
        <v>419.29</v>
      </c>
      <c r="S7" s="9" t="str">
        <f t="shared" ref="S7:S11" si="12">IF(J7&gt;0,M7+R7,"")</f>
        <v/>
      </c>
      <c r="T7" s="9" t="str">
        <f t="shared" ref="T7:T11" si="13">IF(J7&gt;0,ROUND(S7*1.23,2),"")</f>
        <v/>
      </c>
    </row>
    <row r="8" spans="1:20" ht="28.2" customHeight="1" x14ac:dyDescent="0.3">
      <c r="A8" s="2" t="s">
        <v>35</v>
      </c>
      <c r="B8" s="2">
        <v>16</v>
      </c>
      <c r="C8" s="3" t="s">
        <v>10</v>
      </c>
      <c r="D8" s="4">
        <v>558316</v>
      </c>
      <c r="E8" s="4">
        <v>0</v>
      </c>
      <c r="F8" s="4">
        <v>558316</v>
      </c>
      <c r="G8" s="4">
        <v>12</v>
      </c>
      <c r="H8" s="4" t="s">
        <v>10</v>
      </c>
      <c r="I8" s="5" t="s">
        <v>32</v>
      </c>
      <c r="J8" s="6"/>
      <c r="K8" s="7" t="str">
        <f t="shared" si="7"/>
        <v/>
      </c>
      <c r="L8" s="8"/>
      <c r="M8" s="9" t="str">
        <f t="shared" si="8"/>
        <v/>
      </c>
      <c r="N8" s="10">
        <v>32.85</v>
      </c>
      <c r="O8" s="9">
        <f t="shared" si="9"/>
        <v>6307.2</v>
      </c>
      <c r="P8" s="10">
        <v>2.7589999999999999</v>
      </c>
      <c r="Q8" s="9">
        <f t="shared" si="10"/>
        <v>15403.94</v>
      </c>
      <c r="R8" s="9">
        <f t="shared" si="11"/>
        <v>21711.14</v>
      </c>
      <c r="S8" s="9" t="str">
        <f t="shared" si="12"/>
        <v/>
      </c>
      <c r="T8" s="9" t="str">
        <f t="shared" si="13"/>
        <v/>
      </c>
    </row>
    <row r="9" spans="1:20" ht="28.2" customHeight="1" x14ac:dyDescent="0.3">
      <c r="A9" s="2" t="s">
        <v>36</v>
      </c>
      <c r="B9" s="2">
        <v>2</v>
      </c>
      <c r="C9" s="3" t="s">
        <v>10</v>
      </c>
      <c r="D9" s="4">
        <v>235878</v>
      </c>
      <c r="E9" s="4">
        <v>0</v>
      </c>
      <c r="F9" s="4">
        <v>235878</v>
      </c>
      <c r="G9" s="4">
        <v>12</v>
      </c>
      <c r="H9" s="4" t="s">
        <v>10</v>
      </c>
      <c r="I9" s="5" t="s">
        <v>32</v>
      </c>
      <c r="J9" s="6"/>
      <c r="K9" s="7" t="str">
        <f t="shared" si="7"/>
        <v/>
      </c>
      <c r="L9" s="8"/>
      <c r="M9" s="9" t="str">
        <f t="shared" si="8"/>
        <v/>
      </c>
      <c r="N9" s="10">
        <v>183.52</v>
      </c>
      <c r="O9" s="9">
        <f t="shared" si="9"/>
        <v>4404.4799999999996</v>
      </c>
      <c r="P9" s="10">
        <v>2.7040000000000002</v>
      </c>
      <c r="Q9" s="9">
        <f t="shared" si="10"/>
        <v>6378.14</v>
      </c>
      <c r="R9" s="9">
        <f t="shared" si="11"/>
        <v>10782.619999999999</v>
      </c>
      <c r="S9" s="9" t="str">
        <f t="shared" si="12"/>
        <v/>
      </c>
      <c r="T9" s="9" t="str">
        <f t="shared" si="13"/>
        <v/>
      </c>
    </row>
    <row r="10" spans="1:20" ht="28.2" customHeight="1" x14ac:dyDescent="0.3">
      <c r="A10" s="2" t="s">
        <v>37</v>
      </c>
      <c r="B10" s="2">
        <v>8</v>
      </c>
      <c r="C10" s="3">
        <v>2029</v>
      </c>
      <c r="D10" s="4">
        <v>2223223</v>
      </c>
      <c r="E10" s="4">
        <v>0</v>
      </c>
      <c r="F10" s="4">
        <v>2223223</v>
      </c>
      <c r="G10" s="4">
        <v>12</v>
      </c>
      <c r="H10" s="4">
        <v>365</v>
      </c>
      <c r="I10" s="5" t="s">
        <v>32</v>
      </c>
      <c r="J10" s="6"/>
      <c r="K10" s="7" t="str">
        <f t="shared" si="7"/>
        <v/>
      </c>
      <c r="L10" s="8"/>
      <c r="M10" s="9" t="str">
        <f t="shared" si="8"/>
        <v/>
      </c>
      <c r="N10" s="10">
        <v>0.47499999999999998</v>
      </c>
      <c r="O10" s="9">
        <f t="shared" si="9"/>
        <v>84426.69</v>
      </c>
      <c r="P10" s="10">
        <v>2.452</v>
      </c>
      <c r="Q10" s="9">
        <f t="shared" si="10"/>
        <v>54513.43</v>
      </c>
      <c r="R10" s="9">
        <f t="shared" si="11"/>
        <v>138940.12</v>
      </c>
      <c r="S10" s="9" t="str">
        <f t="shared" si="12"/>
        <v/>
      </c>
      <c r="T10" s="9" t="str">
        <f t="shared" si="13"/>
        <v/>
      </c>
    </row>
    <row r="11" spans="1:20" ht="28.2" customHeight="1" x14ac:dyDescent="0.3">
      <c r="A11" s="2" t="s">
        <v>30</v>
      </c>
      <c r="B11" s="2">
        <v>1</v>
      </c>
      <c r="C11" s="3">
        <v>165</v>
      </c>
      <c r="D11" s="4">
        <v>214506</v>
      </c>
      <c r="E11" s="4">
        <v>0</v>
      </c>
      <c r="F11" s="4">
        <v>214506</v>
      </c>
      <c r="G11" s="4">
        <v>12</v>
      </c>
      <c r="H11" s="4">
        <v>365</v>
      </c>
      <c r="I11" s="5" t="s">
        <v>29</v>
      </c>
      <c r="J11" s="6"/>
      <c r="K11" s="7" t="str">
        <f t="shared" si="7"/>
        <v/>
      </c>
      <c r="L11" s="8"/>
      <c r="M11" s="9" t="str">
        <f t="shared" si="8"/>
        <v/>
      </c>
      <c r="N11" s="10">
        <v>0.57799999999999996</v>
      </c>
      <c r="O11" s="9">
        <f t="shared" si="9"/>
        <v>8354.41</v>
      </c>
      <c r="P11" s="10">
        <v>1.651</v>
      </c>
      <c r="Q11" s="9">
        <f t="shared" si="10"/>
        <v>3541.49</v>
      </c>
      <c r="R11" s="9">
        <f t="shared" si="11"/>
        <v>11895.9</v>
      </c>
      <c r="S11" s="9" t="str">
        <f t="shared" si="12"/>
        <v/>
      </c>
      <c r="T11" s="9" t="str">
        <f t="shared" si="13"/>
        <v/>
      </c>
    </row>
    <row r="12" spans="1:20" ht="28.2" customHeight="1" x14ac:dyDescent="0.3">
      <c r="R12" s="13" t="s">
        <v>11</v>
      </c>
      <c r="S12" s="9" t="str">
        <f>IF(SUM(S5:S11)&gt;0,SUM(S5:S11),"")</f>
        <v/>
      </c>
      <c r="T12" s="9" t="str">
        <f>IF(SUM(T5:T11)&gt;0,SUM(T5:T11),"")</f>
        <v/>
      </c>
    </row>
    <row r="13" spans="1:20" ht="66.599999999999994" customHeight="1" x14ac:dyDescent="0.3">
      <c r="A13" s="17" t="s">
        <v>12</v>
      </c>
      <c r="B13" s="18"/>
      <c r="C13" s="18"/>
      <c r="D13" s="18"/>
      <c r="E13" s="18"/>
      <c r="F13" s="18"/>
      <c r="G13" s="18"/>
      <c r="H13" s="18"/>
      <c r="I13" s="19"/>
    </row>
    <row r="14" spans="1:20" ht="15.6" x14ac:dyDescent="0.3">
      <c r="A14" s="17" t="s">
        <v>13</v>
      </c>
      <c r="B14" s="18"/>
      <c r="C14" s="18"/>
      <c r="D14" s="18"/>
      <c r="E14" s="18"/>
      <c r="F14" s="18"/>
      <c r="G14" s="18"/>
      <c r="H14" s="18"/>
      <c r="I14" s="19"/>
    </row>
    <row r="39" spans="10:10" x14ac:dyDescent="0.3">
      <c r="J39" s="12"/>
    </row>
  </sheetData>
  <sheetProtection algorithmName="SHA-512" hashValue="r6AXZvmoAp/ghxL784JziAEG2YY/gGzSwbmTgG/lfsQSbk9iNY1C5ZIAmmVJNYqdVb0scNQ6TeRlSJT3HVKL+g==" saltValue="RaruKgnbAwa0zRd8sctZbg==" spinCount="100000" sheet="1" objects="1" scenarios="1"/>
  <protectedRanges>
    <protectedRange sqref="L5:L11" name="Rozstęp2"/>
    <protectedRange sqref="J5:J11" name="Rozstęp1"/>
  </protectedRanges>
  <mergeCells count="14">
    <mergeCell ref="J2:M2"/>
    <mergeCell ref="N2:R2"/>
    <mergeCell ref="A13:I13"/>
    <mergeCell ref="A14:I14"/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User4</cp:lastModifiedBy>
  <cp:lastPrinted>2021-09-09T07:59:51Z</cp:lastPrinted>
  <dcterms:created xsi:type="dcterms:W3CDTF">2015-06-05T18:19:34Z</dcterms:created>
  <dcterms:modified xsi:type="dcterms:W3CDTF">2021-09-15T11:32:37Z</dcterms:modified>
</cp:coreProperties>
</file>